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herzog\Desktop\"/>
    </mc:Choice>
  </mc:AlternateContent>
  <xr:revisionPtr revIDLastSave="0" documentId="13_ncr:1_{BD74AF8B-FFF6-47AA-82F2-43C3EED640DF}" xr6:coauthVersionLast="47" xr6:coauthVersionMax="47" xr10:uidLastSave="{00000000-0000-0000-0000-000000000000}"/>
  <bookViews>
    <workbookView xWindow="-28920" yWindow="-3720" windowWidth="29040" windowHeight="15720" activeTab="4" xr2:uid="{02CC2383-8B50-43CD-9134-62ECA5116386}"/>
  </bookViews>
  <sheets>
    <sheet name="01.01.25 " sheetId="12" r:id="rId1"/>
    <sheet name="01.01.25 15% (2)" sheetId="6" r:id="rId2"/>
    <sheet name="01.09.2025 30% (2)" sheetId="7" r:id="rId3"/>
    <sheet name="01.09.2025 50%  (2)" sheetId="8" r:id="rId4"/>
    <sheet name="01.01.2025 75%  (3)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6" l="1"/>
  <c r="N26" i="6"/>
  <c r="N29" i="12"/>
  <c r="D28" i="12"/>
  <c r="D25" i="12"/>
  <c r="D22" i="12"/>
  <c r="D19" i="12"/>
  <c r="D16" i="12"/>
  <c r="N27" i="7"/>
  <c r="P26" i="6"/>
  <c r="O26" i="6"/>
  <c r="P25" i="6"/>
  <c r="O25" i="6"/>
  <c r="P24" i="6"/>
  <c r="O24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N28" i="8"/>
  <c r="Q27" i="8"/>
  <c r="P27" i="8"/>
  <c r="O27" i="8"/>
  <c r="N27" i="8"/>
  <c r="Q26" i="8"/>
  <c r="P26" i="8"/>
  <c r="O26" i="8"/>
  <c r="N26" i="8"/>
  <c r="Q25" i="8"/>
  <c r="P25" i="8"/>
  <c r="O25" i="8"/>
  <c r="N25" i="8"/>
  <c r="Q24" i="8"/>
  <c r="P24" i="8"/>
  <c r="O24" i="8"/>
  <c r="N24" i="8"/>
  <c r="Q23" i="8"/>
  <c r="P23" i="8"/>
  <c r="O23" i="8"/>
  <c r="N23" i="8"/>
  <c r="Q22" i="8"/>
  <c r="P22" i="8"/>
  <c r="O22" i="8"/>
  <c r="N22" i="8"/>
  <c r="Q21" i="8"/>
  <c r="P21" i="8"/>
  <c r="O21" i="8"/>
  <c r="N21" i="8"/>
  <c r="Q20" i="8"/>
  <c r="P20" i="8"/>
  <c r="O20" i="8"/>
  <c r="N20" i="8"/>
  <c r="Q19" i="8"/>
  <c r="P19" i="8"/>
  <c r="O19" i="8"/>
  <c r="N19" i="8"/>
  <c r="Q18" i="8"/>
  <c r="P18" i="8"/>
  <c r="O18" i="8"/>
  <c r="N18" i="8"/>
  <c r="Q17" i="8"/>
  <c r="P17" i="8"/>
  <c r="O17" i="8"/>
  <c r="N17" i="8"/>
  <c r="Q16" i="8"/>
  <c r="P16" i="8"/>
  <c r="O16" i="8"/>
  <c r="N16" i="8"/>
  <c r="Q15" i="8"/>
  <c r="P15" i="8"/>
  <c r="O15" i="8"/>
  <c r="N15" i="8"/>
  <c r="Q14" i="8"/>
  <c r="P14" i="8"/>
  <c r="O14" i="8"/>
  <c r="N14" i="8"/>
  <c r="Q13" i="8"/>
  <c r="P13" i="8"/>
  <c r="O13" i="8"/>
  <c r="N13" i="8"/>
  <c r="O28" i="11"/>
  <c r="N28" i="11"/>
  <c r="N27" i="11"/>
  <c r="N13" i="11"/>
  <c r="P27" i="11"/>
  <c r="D28" i="6"/>
  <c r="F25" i="6"/>
  <c r="F22" i="6"/>
  <c r="F19" i="6"/>
  <c r="F16" i="6"/>
  <c r="D25" i="6"/>
  <c r="D22" i="6"/>
  <c r="D19" i="6"/>
  <c r="D16" i="6"/>
  <c r="F24" i="7"/>
  <c r="F21" i="7"/>
  <c r="F18" i="7"/>
  <c r="F15" i="7"/>
  <c r="D24" i="7"/>
  <c r="D21" i="7"/>
  <c r="D18" i="7"/>
  <c r="D15" i="7"/>
  <c r="F24" i="8"/>
  <c r="F21" i="8"/>
  <c r="F18" i="8"/>
  <c r="F15" i="8"/>
  <c r="D24" i="8"/>
  <c r="D21" i="8"/>
  <c r="D18" i="8"/>
  <c r="D15" i="8"/>
  <c r="F24" i="11"/>
  <c r="F21" i="11"/>
  <c r="F18" i="11"/>
  <c r="F15" i="11"/>
  <c r="D15" i="11"/>
  <c r="D24" i="11"/>
  <c r="D21" i="11"/>
  <c r="D18" i="11"/>
  <c r="D27" i="7"/>
  <c r="D27" i="8"/>
  <c r="Q28" i="12" l="1"/>
  <c r="P28" i="12"/>
  <c r="O28" i="12"/>
  <c r="N28" i="12"/>
  <c r="Q27" i="12"/>
  <c r="P27" i="12"/>
  <c r="O27" i="12"/>
  <c r="N27" i="12"/>
  <c r="Q26" i="12"/>
  <c r="P26" i="12"/>
  <c r="O26" i="12"/>
  <c r="N26" i="12"/>
  <c r="Q25" i="12"/>
  <c r="P25" i="12"/>
  <c r="O25" i="12"/>
  <c r="N25" i="12"/>
  <c r="Q24" i="12"/>
  <c r="P24" i="12"/>
  <c r="O24" i="12"/>
  <c r="N24" i="12"/>
  <c r="Q23" i="12"/>
  <c r="P23" i="12"/>
  <c r="O23" i="12"/>
  <c r="N23" i="12"/>
  <c r="Q22" i="12"/>
  <c r="P22" i="12"/>
  <c r="O22" i="12"/>
  <c r="N22" i="12"/>
  <c r="Q21" i="12"/>
  <c r="P21" i="12"/>
  <c r="O21" i="12"/>
  <c r="N21" i="12"/>
  <c r="Q20" i="12"/>
  <c r="P20" i="12"/>
  <c r="O20" i="12"/>
  <c r="N20" i="12"/>
  <c r="Q19" i="12"/>
  <c r="P19" i="12"/>
  <c r="O19" i="12"/>
  <c r="N19" i="12"/>
  <c r="Q18" i="12"/>
  <c r="P18" i="12"/>
  <c r="O18" i="12"/>
  <c r="N18" i="12"/>
  <c r="Q17" i="12"/>
  <c r="P17" i="12"/>
  <c r="O17" i="12"/>
  <c r="N17" i="12"/>
  <c r="Q16" i="12"/>
  <c r="P16" i="12"/>
  <c r="O16" i="12"/>
  <c r="N16" i="12"/>
  <c r="Q15" i="12"/>
  <c r="P15" i="12"/>
  <c r="O15" i="12"/>
  <c r="N15" i="12"/>
  <c r="Q14" i="12"/>
  <c r="P14" i="12"/>
  <c r="O14" i="12"/>
  <c r="N14" i="12"/>
  <c r="P26" i="7"/>
  <c r="O26" i="7"/>
  <c r="N26" i="7"/>
  <c r="P25" i="7"/>
  <c r="O25" i="7"/>
  <c r="N25" i="7"/>
  <c r="P24" i="7"/>
  <c r="O24" i="7"/>
  <c r="N24" i="7"/>
  <c r="P23" i="7"/>
  <c r="O23" i="7"/>
  <c r="N23" i="7"/>
  <c r="P22" i="7"/>
  <c r="O22" i="7"/>
  <c r="N22" i="7"/>
  <c r="P21" i="7"/>
  <c r="O21" i="7"/>
  <c r="N21" i="7"/>
  <c r="P20" i="7"/>
  <c r="O20" i="7"/>
  <c r="N20" i="7"/>
  <c r="P19" i="7"/>
  <c r="O19" i="7"/>
  <c r="N19" i="7"/>
  <c r="P18" i="7"/>
  <c r="O18" i="7"/>
  <c r="N18" i="7"/>
  <c r="P17" i="7"/>
  <c r="O17" i="7"/>
  <c r="N17" i="7"/>
  <c r="P16" i="7"/>
  <c r="O16" i="7"/>
  <c r="N16" i="7"/>
  <c r="P15" i="7"/>
  <c r="O15" i="7"/>
  <c r="N15" i="7"/>
  <c r="P14" i="7"/>
  <c r="O14" i="7"/>
  <c r="N14" i="7"/>
  <c r="P13" i="7"/>
  <c r="O13" i="7"/>
  <c r="N13" i="7"/>
  <c r="P12" i="7"/>
  <c r="O12" i="7"/>
  <c r="N12" i="7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I39" i="12"/>
  <c r="J39" i="12" s="1"/>
  <c r="I38" i="12"/>
  <c r="J38" i="12" s="1"/>
  <c r="B25" i="12" s="1"/>
  <c r="E25" i="12" s="1"/>
  <c r="I37" i="12"/>
  <c r="J37" i="12" s="1"/>
  <c r="B22" i="12" s="1"/>
  <c r="E22" i="12" s="1"/>
  <c r="I36" i="12"/>
  <c r="J36" i="12" s="1"/>
  <c r="B19" i="12" s="1"/>
  <c r="E19" i="12" s="1"/>
  <c r="I35" i="12"/>
  <c r="J35" i="12" s="1"/>
  <c r="B16" i="12" s="1"/>
  <c r="E16" i="12" s="1"/>
  <c r="F25" i="12"/>
  <c r="G25" i="12" s="1"/>
  <c r="F22" i="12"/>
  <c r="G22" i="12" s="1"/>
  <c r="F19" i="12"/>
  <c r="G19" i="12" s="1"/>
  <c r="F16" i="12"/>
  <c r="G16" i="12" s="1"/>
  <c r="H16" i="12" s="1"/>
  <c r="I16" i="12" s="1"/>
  <c r="I38" i="11"/>
  <c r="J38" i="11" s="1"/>
  <c r="I37" i="11"/>
  <c r="J37" i="11" s="1"/>
  <c r="B24" i="11" s="1"/>
  <c r="E24" i="11" s="1"/>
  <c r="I36" i="11"/>
  <c r="J36" i="11" s="1"/>
  <c r="B21" i="11" s="1"/>
  <c r="E21" i="11" s="1"/>
  <c r="I35" i="11"/>
  <c r="J35" i="11" s="1"/>
  <c r="B18" i="11" s="1"/>
  <c r="E18" i="11" s="1"/>
  <c r="I34" i="11"/>
  <c r="J34" i="11" s="1"/>
  <c r="B15" i="11" s="1"/>
  <c r="E15" i="11" s="1"/>
  <c r="O27" i="11"/>
  <c r="P26" i="11"/>
  <c r="O26" i="11"/>
  <c r="N26" i="11"/>
  <c r="P25" i="11"/>
  <c r="O25" i="11"/>
  <c r="N25" i="11"/>
  <c r="P24" i="11"/>
  <c r="O24" i="11"/>
  <c r="N24" i="11"/>
  <c r="G24" i="11"/>
  <c r="H24" i="11" s="1"/>
  <c r="P23" i="11"/>
  <c r="O23" i="11"/>
  <c r="N23" i="11"/>
  <c r="P22" i="11"/>
  <c r="O22" i="11"/>
  <c r="N22" i="11"/>
  <c r="P21" i="11"/>
  <c r="O21" i="11"/>
  <c r="N21" i="11"/>
  <c r="G21" i="11"/>
  <c r="H21" i="11" s="1"/>
  <c r="P20" i="11"/>
  <c r="O20" i="11"/>
  <c r="N20" i="11"/>
  <c r="P19" i="11"/>
  <c r="O19" i="11"/>
  <c r="N19" i="11"/>
  <c r="P18" i="11"/>
  <c r="O18" i="11"/>
  <c r="N18" i="11"/>
  <c r="G18" i="11"/>
  <c r="H18" i="11" s="1"/>
  <c r="P17" i="11"/>
  <c r="O17" i="11"/>
  <c r="N17" i="11"/>
  <c r="P16" i="11"/>
  <c r="O16" i="11"/>
  <c r="N16" i="11"/>
  <c r="P15" i="11"/>
  <c r="O15" i="11"/>
  <c r="N15" i="11"/>
  <c r="G15" i="11"/>
  <c r="H15" i="11" s="1"/>
  <c r="P14" i="11"/>
  <c r="O14" i="11"/>
  <c r="N14" i="11"/>
  <c r="P13" i="11"/>
  <c r="O13" i="11"/>
  <c r="I15" i="11" l="1"/>
  <c r="K15" i="11" s="1"/>
  <c r="I24" i="11"/>
  <c r="K24" i="11" s="1"/>
  <c r="I18" i="11"/>
  <c r="K18" i="11" s="1"/>
  <c r="I21" i="11"/>
  <c r="K21" i="11" s="1"/>
  <c r="H22" i="12"/>
  <c r="I22" i="12" s="1"/>
  <c r="H25" i="12"/>
  <c r="I25" i="12" s="1"/>
  <c r="H19" i="12"/>
  <c r="I19" i="12" s="1"/>
  <c r="I38" i="8" l="1"/>
  <c r="J38" i="8" s="1"/>
  <c r="I37" i="8"/>
  <c r="J37" i="8" s="1"/>
  <c r="I36" i="8"/>
  <c r="J36" i="8" s="1"/>
  <c r="I35" i="8"/>
  <c r="J35" i="8" s="1"/>
  <c r="I34" i="8"/>
  <c r="J34" i="8" s="1"/>
  <c r="I38" i="7"/>
  <c r="J38" i="7" s="1"/>
  <c r="I37" i="7"/>
  <c r="J37" i="7" s="1"/>
  <c r="I36" i="7"/>
  <c r="J36" i="7" s="1"/>
  <c r="I35" i="7"/>
  <c r="J35" i="7" s="1"/>
  <c r="E18" i="7" s="1"/>
  <c r="I34" i="7"/>
  <c r="J34" i="7" s="1"/>
  <c r="I39" i="6"/>
  <c r="J39" i="6" s="1"/>
  <c r="I38" i="6"/>
  <c r="J38" i="6" s="1"/>
  <c r="B25" i="6" s="1"/>
  <c r="I37" i="6"/>
  <c r="J37" i="6" s="1"/>
  <c r="B22" i="6" s="1"/>
  <c r="I36" i="6"/>
  <c r="J36" i="6" s="1"/>
  <c r="B19" i="6" s="1"/>
  <c r="I35" i="6"/>
  <c r="J35" i="6" s="1"/>
  <c r="B16" i="6" s="1"/>
  <c r="G18" i="8" l="1"/>
  <c r="H18" i="8" s="1"/>
  <c r="E18" i="8"/>
  <c r="E15" i="8"/>
  <c r="G15" i="8"/>
  <c r="H15" i="8" s="1"/>
  <c r="G24" i="8"/>
  <c r="H24" i="8" s="1"/>
  <c r="E24" i="8"/>
  <c r="G21" i="8"/>
  <c r="H21" i="8" s="1"/>
  <c r="E21" i="8"/>
  <c r="G18" i="7"/>
  <c r="H18" i="7" s="1"/>
  <c r="K18" i="7" s="1"/>
  <c r="E15" i="7"/>
  <c r="G15" i="7"/>
  <c r="H15" i="7" s="1"/>
  <c r="G24" i="7"/>
  <c r="H24" i="7" s="1"/>
  <c r="E24" i="7"/>
  <c r="G21" i="7"/>
  <c r="H21" i="7" s="1"/>
  <c r="E21" i="7"/>
  <c r="G16" i="6"/>
  <c r="H16" i="6" s="1"/>
  <c r="E16" i="6"/>
  <c r="I16" i="6" s="1"/>
  <c r="K16" i="6" s="1"/>
  <c r="G25" i="6"/>
  <c r="H25" i="6" s="1"/>
  <c r="E25" i="6"/>
  <c r="I25" i="6" s="1"/>
  <c r="K25" i="6" s="1"/>
  <c r="G22" i="6"/>
  <c r="H22" i="6" s="1"/>
  <c r="E22" i="6"/>
  <c r="I22" i="6" s="1"/>
  <c r="K22" i="6" s="1"/>
  <c r="G19" i="6"/>
  <c r="H19" i="6" s="1"/>
  <c r="E19" i="6"/>
  <c r="I18" i="7" l="1"/>
  <c r="I19" i="6"/>
  <c r="K19" i="6" s="1"/>
  <c r="K21" i="8"/>
  <c r="I21" i="8"/>
  <c r="K18" i="8"/>
  <c r="I18" i="8"/>
  <c r="K24" i="8"/>
  <c r="I24" i="8"/>
  <c r="K15" i="8"/>
  <c r="I15" i="8"/>
  <c r="I24" i="7"/>
  <c r="K24" i="7"/>
  <c r="I21" i="7"/>
  <c r="K21" i="7"/>
  <c r="I15" i="7"/>
  <c r="K15" i="7"/>
  <c r="F27" i="7"/>
  <c r="N13" i="6"/>
  <c r="N16" i="6"/>
  <c r="N19" i="6"/>
  <c r="N22" i="6"/>
  <c r="N25" i="6"/>
  <c r="N12" i="6"/>
  <c r="N15" i="6"/>
  <c r="N18" i="6"/>
  <c r="N21" i="6"/>
  <c r="N24" i="6"/>
  <c r="N14" i="6"/>
  <c r="N17" i="6"/>
  <c r="N20" i="6"/>
  <c r="N23" i="6"/>
</calcChain>
</file>

<file path=xl/sharedStrings.xml><?xml version="1.0" encoding="utf-8"?>
<sst xmlns="http://schemas.openxmlformats.org/spreadsheetml/2006/main" count="237" uniqueCount="53">
  <si>
    <t>Monatliche Pflegekosten in Euro</t>
  </si>
  <si>
    <t>davon</t>
  </si>
  <si>
    <t>Pflege-</t>
  </si>
  <si>
    <t>Gesamt</t>
  </si>
  <si>
    <t>Anteil</t>
  </si>
  <si>
    <t>Azubi-</t>
  </si>
  <si>
    <t xml:space="preserve">Anteil </t>
  </si>
  <si>
    <t>grad</t>
  </si>
  <si>
    <t>ver-</t>
  </si>
  <si>
    <t>Bewoh-</t>
  </si>
  <si>
    <t>kasse</t>
  </si>
  <si>
    <t>gütung</t>
  </si>
  <si>
    <t>ner (in)</t>
  </si>
  <si>
    <t>KZP</t>
  </si>
  <si>
    <t xml:space="preserve">Tag </t>
  </si>
  <si>
    <t xml:space="preserve">Tages - </t>
  </si>
  <si>
    <t>satz €</t>
  </si>
  <si>
    <t xml:space="preserve"> Pflege</t>
  </si>
  <si>
    <t>Bewohner</t>
  </si>
  <si>
    <t>kasse *</t>
  </si>
  <si>
    <t>Zusammensetzung der Kosten in € je Pflegetag</t>
  </si>
  <si>
    <t>Pflege-grad</t>
  </si>
  <si>
    <t>Pflege-leistung</t>
  </si>
  <si>
    <t>Unterkunft</t>
  </si>
  <si>
    <t>Verpflegung</t>
  </si>
  <si>
    <t>Invest-kosten</t>
  </si>
  <si>
    <t>Azubi-vergütung1</t>
  </si>
  <si>
    <t>Azubi-vergütung2</t>
  </si>
  <si>
    <t>vergütung 1+2</t>
  </si>
  <si>
    <t>→</t>
  </si>
  <si>
    <r>
      <rPr>
        <b/>
        <sz val="10"/>
        <color rgb="FF000000"/>
        <rFont val="Calibri"/>
        <family val="2"/>
      </rPr>
      <t>Investitionskosten</t>
    </r>
    <r>
      <rPr>
        <sz val="10"/>
        <color rgb="FF000000"/>
        <rFont val="Calibri"/>
        <family val="2"/>
      </rPr>
      <t xml:space="preserve"> von </t>
    </r>
    <r>
      <rPr>
        <b/>
        <sz val="10"/>
        <color rgb="FF000000"/>
        <rFont val="Calibri"/>
        <family val="2"/>
      </rPr>
      <t>15,45 € pro Tag</t>
    </r>
    <r>
      <rPr>
        <sz val="10"/>
        <color rgb="FF000000"/>
        <rFont val="Calibri"/>
        <family val="2"/>
      </rPr>
      <t xml:space="preserve"> enthalten</t>
    </r>
  </si>
  <si>
    <t>Stationär</t>
  </si>
  <si>
    <t>Kurzzeitpflege</t>
  </si>
  <si>
    <t>15% bis 12 Monate</t>
  </si>
  <si>
    <t>das Verzehrgeld wurde von der Pflegekasse mit 6,97 € berechnet</t>
  </si>
  <si>
    <t>30% bis 24 Monate</t>
  </si>
  <si>
    <t>50% bis 36 Monate</t>
  </si>
  <si>
    <t>75% bis 36 Monate</t>
  </si>
  <si>
    <t xml:space="preserve">Pflegekasse </t>
  </si>
  <si>
    <t>Anteil
Bewohner</t>
  </si>
  <si>
    <t>Anteil 
Pflegekasse</t>
  </si>
  <si>
    <t>Unter-kunft</t>
  </si>
  <si>
    <t>"Haus Elballee" Pflegekostensätze ab 01.01.2025</t>
  </si>
  <si>
    <t xml:space="preserve">vergütung </t>
  </si>
  <si>
    <r>
      <t xml:space="preserve">Bewohner mit einer Versorgung durch PEG tragen einen Verpflegungssatz von </t>
    </r>
    <r>
      <rPr>
        <b/>
        <sz val="10"/>
        <color rgb="FF000000"/>
        <rFont val="Calibri"/>
        <family val="2"/>
      </rPr>
      <t>4,07 €</t>
    </r>
    <r>
      <rPr>
        <sz val="10"/>
        <color rgb="FF000000"/>
        <rFont val="Calibri"/>
        <family val="2"/>
      </rPr>
      <t xml:space="preserve"> pro Tag</t>
    </r>
  </si>
  <si>
    <r>
      <t xml:space="preserve">das Verzehrgeld wurde von der Pflegekasse mit </t>
    </r>
    <r>
      <rPr>
        <b/>
        <sz val="10"/>
        <color theme="1"/>
        <rFont val="Calibri"/>
        <family val="2"/>
        <scheme val="minor"/>
      </rPr>
      <t>7,11 €</t>
    </r>
    <r>
      <rPr>
        <sz val="10"/>
        <color theme="1"/>
        <rFont val="Calibri"/>
        <family val="2"/>
        <scheme val="minor"/>
      </rPr>
      <t xml:space="preserve"> berechnet</t>
    </r>
  </si>
  <si>
    <t>VHP</t>
  </si>
  <si>
    <t>max. 17Tage</t>
  </si>
  <si>
    <t>max. 17 Tage</t>
  </si>
  <si>
    <r>
      <t xml:space="preserve">in den Pflegekostensätzen ist eine Umlage nach </t>
    </r>
    <r>
      <rPr>
        <b/>
        <sz val="10"/>
        <color theme="1"/>
        <rFont val="Calibri"/>
        <family val="2"/>
        <scheme val="minor"/>
      </rPr>
      <t>§ 28 Abs. 2 Pflegeberufegesetz</t>
    </r>
    <r>
      <rPr>
        <sz val="10"/>
        <color theme="1"/>
        <rFont val="Calibri"/>
        <family val="2"/>
        <scheme val="minor"/>
      </rPr>
      <t xml:space="preserve"> von </t>
    </r>
    <r>
      <rPr>
        <b/>
        <sz val="10"/>
        <color theme="1"/>
        <rFont val="Calibri"/>
        <family val="2"/>
        <scheme val="minor"/>
      </rPr>
      <t>2,62 €</t>
    </r>
    <r>
      <rPr>
        <sz val="10"/>
        <color theme="1"/>
        <rFont val="Calibri"/>
        <family val="2"/>
        <scheme val="minor"/>
      </rPr>
      <t xml:space="preserve"> täglich, sowie </t>
    </r>
  </si>
  <si>
    <t>Tagessatz €</t>
  </si>
  <si>
    <t>Pflege</t>
  </si>
  <si>
    <t xml:space="preserve">Anteil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</si>
</sst>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&quot; &quot;[$€-407]"/>
    <numFmt numFmtId="165" formatCode="&quot; &quot;#,##0.00&quot; &quot;[$€-407]&quot; &quot;;&quot;-&quot;#,##0.00&quot; &quot;[$€-407]&quot; &quot;;&quot; -&quot;00&quot; &quot;[$€-407]&quot; &quot;;&quot; &quot;@&quot; &quot;"/>
    <numFmt numFmtId="166" formatCode="#,##0.00\ [$€-407]"/>
    <numFmt numFmtId="167" formatCode="_-* #,##0.00\ [$€-407]_-;\-* #,##0.00\ [$€-407]_-;_-* &quot;-&quot;??\ [$€-407]_-;_-@_-"/>
    <numFmt numFmtId="168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99FF"/>
        <bgColor rgb="FFFF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FF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rgb="FFFF99FF"/>
        <bgColor indexed="64"/>
      </patternFill>
    </fill>
  </fills>
  <borders count="1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79">
    <xf numFmtId="0" fontId="0" fillId="0" borderId="0" xfId="0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5" fillId="0" borderId="25" xfId="0" applyFont="1" applyBorder="1"/>
    <xf numFmtId="165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/>
    <xf numFmtId="165" fontId="1" fillId="0" borderId="0" xfId="0" applyNumberFormat="1" applyFont="1"/>
    <xf numFmtId="0" fontId="0" fillId="0" borderId="10" xfId="0" applyBorder="1"/>
    <xf numFmtId="0" fontId="7" fillId="0" borderId="11" xfId="0" applyFont="1" applyBorder="1"/>
    <xf numFmtId="0" fontId="7" fillId="0" borderId="12" xfId="0" applyFont="1" applyBorder="1"/>
    <xf numFmtId="0" fontId="7" fillId="2" borderId="18" xfId="0" applyFont="1" applyFill="1" applyBorder="1"/>
    <xf numFmtId="0" fontId="7" fillId="2" borderId="19" xfId="0" applyFont="1" applyFill="1" applyBorder="1"/>
    <xf numFmtId="9" fontId="7" fillId="2" borderId="19" xfId="0" applyNumberFormat="1" applyFont="1" applyFill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4" fillId="4" borderId="17" xfId="0" applyNumberFormat="1" applyFont="1" applyFill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/>
    <xf numFmtId="0" fontId="0" fillId="0" borderId="24" xfId="0" applyBorder="1" applyAlignment="1">
      <alignment wrapText="1"/>
    </xf>
    <xf numFmtId="0" fontId="7" fillId="0" borderId="24" xfId="0" applyFont="1" applyBorder="1"/>
    <xf numFmtId="0" fontId="0" fillId="2" borderId="24" xfId="0" applyFill="1" applyBorder="1" applyAlignment="1">
      <alignment horizontal="center"/>
    </xf>
    <xf numFmtId="164" fontId="0" fillId="2" borderId="24" xfId="0" applyNumberForma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165" fontId="0" fillId="2" borderId="28" xfId="0" applyNumberFormat="1" applyFill="1" applyBorder="1" applyAlignment="1">
      <alignment horizontal="center"/>
    </xf>
    <xf numFmtId="165" fontId="0" fillId="2" borderId="23" xfId="0" applyNumberFormat="1" applyFill="1" applyBorder="1" applyAlignment="1">
      <alignment horizontal="center"/>
    </xf>
    <xf numFmtId="165" fontId="0" fillId="2" borderId="26" xfId="0" applyNumberFormat="1" applyFill="1" applyBorder="1" applyAlignment="1">
      <alignment horizontal="center"/>
    </xf>
    <xf numFmtId="165" fontId="0" fillId="2" borderId="24" xfId="0" applyNumberFormat="1" applyFill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8" fillId="0" borderId="26" xfId="0" applyFont="1" applyBorder="1"/>
    <xf numFmtId="0" fontId="8" fillId="0" borderId="27" xfId="0" applyFont="1" applyBorder="1"/>
    <xf numFmtId="0" fontId="8" fillId="0" borderId="23" xfId="0" applyFont="1" applyBorder="1"/>
    <xf numFmtId="0" fontId="4" fillId="0" borderId="1" xfId="0" applyFont="1" applyBorder="1" applyAlignment="1">
      <alignment wrapText="1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wrapText="1" shrinkToFit="1"/>
    </xf>
    <xf numFmtId="0" fontId="4" fillId="0" borderId="4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7" fillId="0" borderId="5" xfId="0" applyFont="1" applyBorder="1"/>
    <xf numFmtId="0" fontId="7" fillId="2" borderId="0" xfId="0" applyFont="1" applyFill="1"/>
    <xf numFmtId="0" fontId="7" fillId="0" borderId="3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3" xfId="0" applyFont="1" applyBorder="1" applyAlignment="1">
      <alignment wrapText="1" shrinkToFit="1"/>
    </xf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wrapText="1" shrinkToFit="1"/>
    </xf>
    <xf numFmtId="0" fontId="7" fillId="0" borderId="8" xfId="0" applyFont="1" applyBorder="1" applyAlignment="1">
      <alignment horizontal="left"/>
    </xf>
    <xf numFmtId="0" fontId="7" fillId="0" borderId="9" xfId="0" applyFont="1" applyBorder="1"/>
    <xf numFmtId="0" fontId="7" fillId="2" borderId="16" xfId="0" applyFont="1" applyFill="1" applyBorder="1"/>
    <xf numFmtId="0" fontId="7" fillId="2" borderId="17" xfId="0" applyFont="1" applyFill="1" applyBorder="1"/>
    <xf numFmtId="0" fontId="9" fillId="0" borderId="0" xfId="0" applyFont="1"/>
    <xf numFmtId="164" fontId="7" fillId="0" borderId="4" xfId="0" applyNumberFormat="1" applyFont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0" fillId="5" borderId="0" xfId="0" applyFill="1"/>
    <xf numFmtId="0" fontId="7" fillId="0" borderId="36" xfId="0" applyFont="1" applyBorder="1"/>
    <xf numFmtId="165" fontId="10" fillId="0" borderId="0" xfId="0" applyNumberFormat="1" applyFont="1"/>
    <xf numFmtId="164" fontId="7" fillId="0" borderId="23" xfId="0" applyNumberFormat="1" applyFont="1" applyBorder="1" applyAlignment="1">
      <alignment horizontal="center"/>
    </xf>
    <xf numFmtId="164" fontId="4" fillId="3" borderId="37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9" fontId="7" fillId="6" borderId="0" xfId="0" applyNumberFormat="1" applyFont="1" applyFill="1" applyAlignment="1">
      <alignment horizontal="center" wrapText="1"/>
    </xf>
    <xf numFmtId="164" fontId="4" fillId="6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/>
    </xf>
    <xf numFmtId="0" fontId="7" fillId="2" borderId="42" xfId="0" applyFont="1" applyFill="1" applyBorder="1"/>
    <xf numFmtId="164" fontId="7" fillId="2" borderId="8" xfId="0" applyNumberFormat="1" applyFont="1" applyFill="1" applyBorder="1" applyAlignment="1">
      <alignment horizontal="center"/>
    </xf>
    <xf numFmtId="0" fontId="7" fillId="0" borderId="8" xfId="0" applyFont="1" applyBorder="1"/>
    <xf numFmtId="2" fontId="7" fillId="0" borderId="43" xfId="0" applyNumberFormat="1" applyFont="1" applyBorder="1" applyAlignment="1">
      <alignment horizontal="center"/>
    </xf>
    <xf numFmtId="164" fontId="7" fillId="0" borderId="46" xfId="0" applyNumberFormat="1" applyFont="1" applyBorder="1" applyAlignment="1">
      <alignment horizontal="center"/>
    </xf>
    <xf numFmtId="164" fontId="7" fillId="0" borderId="47" xfId="0" applyNumberFormat="1" applyFont="1" applyBorder="1" applyAlignment="1">
      <alignment horizontal="center"/>
    </xf>
    <xf numFmtId="164" fontId="7" fillId="0" borderId="48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64" fontId="7" fillId="0" borderId="43" xfId="0" applyNumberFormat="1" applyFont="1" applyBorder="1" applyAlignment="1">
      <alignment horizontal="center"/>
    </xf>
    <xf numFmtId="164" fontId="7" fillId="0" borderId="44" xfId="0" applyNumberFormat="1" applyFont="1" applyBorder="1" applyAlignment="1">
      <alignment horizontal="center"/>
    </xf>
    <xf numFmtId="164" fontId="4" fillId="3" borderId="36" xfId="0" applyNumberFormat="1" applyFont="1" applyFill="1" applyBorder="1" applyAlignment="1">
      <alignment horizontal="center"/>
    </xf>
    <xf numFmtId="2" fontId="7" fillId="0" borderId="49" xfId="0" applyNumberFormat="1" applyFont="1" applyBorder="1" applyAlignment="1">
      <alignment horizontal="center"/>
    </xf>
    <xf numFmtId="164" fontId="7" fillId="0" borderId="50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7" fillId="7" borderId="0" xfId="0" applyNumberFormat="1" applyFont="1" applyFill="1" applyAlignment="1">
      <alignment horizontal="center"/>
    </xf>
    <xf numFmtId="164" fontId="4" fillId="8" borderId="0" xfId="0" applyNumberFormat="1" applyFont="1" applyFill="1" applyAlignment="1">
      <alignment horizontal="center"/>
    </xf>
    <xf numFmtId="8" fontId="12" fillId="7" borderId="51" xfId="0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164" fontId="4" fillId="3" borderId="52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9" xfId="0" applyFont="1" applyBorder="1" applyAlignment="1">
      <alignment horizontal="center"/>
    </xf>
    <xf numFmtId="0" fontId="0" fillId="0" borderId="12" xfId="0" applyBorder="1"/>
    <xf numFmtId="164" fontId="7" fillId="5" borderId="0" xfId="0" applyNumberFormat="1" applyFont="1" applyFill="1" applyAlignment="1">
      <alignment horizontal="center"/>
    </xf>
    <xf numFmtId="0" fontId="7" fillId="0" borderId="5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166" fontId="12" fillId="5" borderId="0" xfId="0" applyNumberFormat="1" applyFont="1" applyFill="1" applyAlignment="1">
      <alignment horizontal="center"/>
    </xf>
    <xf numFmtId="44" fontId="4" fillId="8" borderId="0" xfId="1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7" fillId="0" borderId="59" xfId="0" applyFont="1" applyBorder="1" applyAlignment="1">
      <alignment horizontal="center"/>
    </xf>
    <xf numFmtId="0" fontId="7" fillId="0" borderId="60" xfId="0" applyFont="1" applyBorder="1" applyAlignment="1">
      <alignment horizontal="center" vertical="center"/>
    </xf>
    <xf numFmtId="164" fontId="7" fillId="0" borderId="61" xfId="0" applyNumberFormat="1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164" fontId="7" fillId="0" borderId="64" xfId="0" applyNumberFormat="1" applyFont="1" applyBorder="1" applyAlignment="1">
      <alignment horizontal="center"/>
    </xf>
    <xf numFmtId="164" fontId="4" fillId="3" borderId="66" xfId="0" applyNumberFormat="1" applyFont="1" applyFill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9" xfId="0" applyBorder="1"/>
    <xf numFmtId="44" fontId="12" fillId="7" borderId="55" xfId="1" applyFont="1" applyFill="1" applyBorder="1"/>
    <xf numFmtId="44" fontId="12" fillId="7" borderId="57" xfId="1" applyFont="1" applyFill="1" applyBorder="1"/>
    <xf numFmtId="44" fontId="12" fillId="7" borderId="53" xfId="1" applyFont="1" applyFill="1" applyBorder="1"/>
    <xf numFmtId="0" fontId="7" fillId="2" borderId="67" xfId="0" applyFont="1" applyFill="1" applyBorder="1"/>
    <xf numFmtId="0" fontId="0" fillId="0" borderId="4" xfId="0" applyBorder="1"/>
    <xf numFmtId="7" fontId="12" fillId="7" borderId="65" xfId="1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0" fontId="7" fillId="5" borderId="58" xfId="0" applyFont="1" applyFill="1" applyBorder="1" applyAlignment="1">
      <alignment horizontal="center"/>
    </xf>
    <xf numFmtId="8" fontId="12" fillId="7" borderId="68" xfId="0" applyNumberFormat="1" applyFont="1" applyFill="1" applyBorder="1"/>
    <xf numFmtId="8" fontId="12" fillId="7" borderId="55" xfId="0" applyNumberFormat="1" applyFont="1" applyFill="1" applyBorder="1"/>
    <xf numFmtId="0" fontId="7" fillId="0" borderId="69" xfId="0" applyFont="1" applyBorder="1" applyAlignment="1">
      <alignment horizontal="center" vertical="center"/>
    </xf>
    <xf numFmtId="164" fontId="7" fillId="0" borderId="70" xfId="0" applyNumberFormat="1" applyFont="1" applyBorder="1" applyAlignment="1">
      <alignment horizontal="center"/>
    </xf>
    <xf numFmtId="164" fontId="4" fillId="3" borderId="71" xfId="0" applyNumberFormat="1" applyFont="1" applyFill="1" applyBorder="1" applyAlignment="1">
      <alignment horizontal="center"/>
    </xf>
    <xf numFmtId="8" fontId="12" fillId="7" borderId="57" xfId="0" applyNumberFormat="1" applyFont="1" applyFill="1" applyBorder="1"/>
    <xf numFmtId="0" fontId="4" fillId="0" borderId="72" xfId="0" applyFont="1" applyBorder="1" applyAlignment="1">
      <alignment wrapText="1"/>
    </xf>
    <xf numFmtId="0" fontId="0" fillId="0" borderId="73" xfId="0" applyBorder="1"/>
    <xf numFmtId="0" fontId="0" fillId="0" borderId="74" xfId="0" applyBorder="1"/>
    <xf numFmtId="0" fontId="4" fillId="0" borderId="75" xfId="0" applyFont="1" applyBorder="1" applyAlignment="1">
      <alignment vertical="top"/>
    </xf>
    <xf numFmtId="0" fontId="7" fillId="0" borderId="75" xfId="0" applyFont="1" applyBorder="1"/>
    <xf numFmtId="0" fontId="0" fillId="0" borderId="76" xfId="0" applyBorder="1"/>
    <xf numFmtId="0" fontId="7" fillId="0" borderId="77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164" fontId="4" fillId="3" borderId="33" xfId="0" applyNumberFormat="1" applyFont="1" applyFill="1" applyBorder="1" applyAlignment="1">
      <alignment horizontal="center"/>
    </xf>
    <xf numFmtId="0" fontId="7" fillId="0" borderId="76" xfId="0" applyFont="1" applyBorder="1" applyAlignment="1">
      <alignment horizontal="center"/>
    </xf>
    <xf numFmtId="164" fontId="4" fillId="0" borderId="78" xfId="0" applyNumberFormat="1" applyFont="1" applyBorder="1" applyAlignment="1">
      <alignment horizontal="center"/>
    </xf>
    <xf numFmtId="164" fontId="4" fillId="0" borderId="79" xfId="0" applyNumberFormat="1" applyFont="1" applyBorder="1" applyAlignment="1">
      <alignment horizontal="center"/>
    </xf>
    <xf numFmtId="2" fontId="4" fillId="0" borderId="78" xfId="0" applyNumberFormat="1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2" fontId="7" fillId="0" borderId="81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164" fontId="7" fillId="0" borderId="37" xfId="0" applyNumberFormat="1" applyFont="1" applyBorder="1" applyAlignment="1">
      <alignment horizontal="center"/>
    </xf>
    <xf numFmtId="167" fontId="12" fillId="7" borderId="53" xfId="0" applyNumberFormat="1" applyFont="1" applyFill="1" applyBorder="1"/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164" fontId="7" fillId="0" borderId="66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14" fillId="0" borderId="75" xfId="0" applyFont="1" applyBorder="1"/>
    <xf numFmtId="164" fontId="7" fillId="0" borderId="85" xfId="0" applyNumberFormat="1" applyFont="1" applyBorder="1" applyAlignment="1">
      <alignment horizontal="center"/>
    </xf>
    <xf numFmtId="0" fontId="7" fillId="0" borderId="83" xfId="0" applyFont="1" applyBorder="1" applyAlignment="1">
      <alignment horizontal="center"/>
    </xf>
    <xf numFmtId="167" fontId="12" fillId="7" borderId="55" xfId="0" applyNumberFormat="1" applyFont="1" applyFill="1" applyBorder="1"/>
    <xf numFmtId="2" fontId="7" fillId="0" borderId="0" xfId="0" applyNumberFormat="1" applyFont="1" applyAlignment="1">
      <alignment horizontal="center"/>
    </xf>
    <xf numFmtId="0" fontId="7" fillId="0" borderId="72" xfId="0" applyFont="1" applyBorder="1" applyAlignment="1">
      <alignment horizontal="center"/>
    </xf>
    <xf numFmtId="164" fontId="7" fillId="0" borderId="73" xfId="0" applyNumberFormat="1" applyFont="1" applyBorder="1" applyAlignment="1">
      <alignment horizontal="center"/>
    </xf>
    <xf numFmtId="164" fontId="4" fillId="0" borderId="44" xfId="0" applyNumberFormat="1" applyFont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164" fontId="4" fillId="2" borderId="73" xfId="0" applyNumberFormat="1" applyFont="1" applyFill="1" applyBorder="1" applyAlignment="1">
      <alignment horizontal="center"/>
    </xf>
    <xf numFmtId="164" fontId="4" fillId="2" borderId="87" xfId="0" applyNumberFormat="1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2" fontId="4" fillId="0" borderId="49" xfId="0" applyNumberFormat="1" applyFont="1" applyBorder="1" applyAlignment="1">
      <alignment horizontal="center"/>
    </xf>
    <xf numFmtId="2" fontId="4" fillId="2" borderId="49" xfId="0" applyNumberFormat="1" applyFont="1" applyFill="1" applyBorder="1" applyAlignment="1">
      <alignment horizontal="center"/>
    </xf>
    <xf numFmtId="2" fontId="4" fillId="2" borderId="81" xfId="0" applyNumberFormat="1" applyFont="1" applyFill="1" applyBorder="1" applyAlignment="1">
      <alignment horizontal="center"/>
    </xf>
    <xf numFmtId="2" fontId="4" fillId="2" borderId="88" xfId="0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2" fontId="4" fillId="0" borderId="74" xfId="0" applyNumberFormat="1" applyFont="1" applyBorder="1" applyAlignment="1">
      <alignment horizontal="center"/>
    </xf>
    <xf numFmtId="164" fontId="4" fillId="0" borderId="89" xfId="0" applyNumberFormat="1" applyFont="1" applyBorder="1" applyAlignment="1">
      <alignment horizontal="center"/>
    </xf>
    <xf numFmtId="164" fontId="4" fillId="0" borderId="90" xfId="0" applyNumberFormat="1" applyFont="1" applyBorder="1" applyAlignment="1">
      <alignment horizontal="center"/>
    </xf>
    <xf numFmtId="2" fontId="4" fillId="0" borderId="36" xfId="0" applyNumberFormat="1" applyFont="1" applyBorder="1" applyAlignment="1">
      <alignment horizontal="center"/>
    </xf>
    <xf numFmtId="164" fontId="4" fillId="0" borderId="74" xfId="0" applyNumberFormat="1" applyFont="1" applyBorder="1" applyAlignment="1">
      <alignment horizontal="center"/>
    </xf>
    <xf numFmtId="2" fontId="4" fillId="0" borderId="91" xfId="0" applyNumberFormat="1" applyFont="1" applyBorder="1" applyAlignment="1">
      <alignment horizontal="center"/>
    </xf>
    <xf numFmtId="2" fontId="7" fillId="0" borderId="92" xfId="0" applyNumberFormat="1" applyFont="1" applyBorder="1" applyAlignment="1">
      <alignment horizontal="center"/>
    </xf>
    <xf numFmtId="164" fontId="7" fillId="3" borderId="93" xfId="0" applyNumberFormat="1" applyFont="1" applyFill="1" applyBorder="1" applyAlignment="1">
      <alignment horizontal="center"/>
    </xf>
    <xf numFmtId="164" fontId="7" fillId="0" borderId="94" xfId="0" applyNumberFormat="1" applyFont="1" applyBorder="1" applyAlignment="1">
      <alignment horizontal="center"/>
    </xf>
    <xf numFmtId="164" fontId="7" fillId="0" borderId="95" xfId="0" applyNumberFormat="1" applyFont="1" applyBorder="1" applyAlignment="1">
      <alignment horizontal="center"/>
    </xf>
    <xf numFmtId="2" fontId="7" fillId="0" borderId="93" xfId="0" applyNumberFormat="1" applyFont="1" applyBorder="1" applyAlignment="1">
      <alignment horizontal="center"/>
    </xf>
    <xf numFmtId="164" fontId="7" fillId="0" borderId="92" xfId="0" applyNumberFormat="1" applyFont="1" applyBorder="1" applyAlignment="1">
      <alignment horizontal="center"/>
    </xf>
    <xf numFmtId="164" fontId="7" fillId="3" borderId="96" xfId="0" applyNumberFormat="1" applyFont="1" applyFill="1" applyBorder="1" applyAlignment="1">
      <alignment horizontal="center"/>
    </xf>
    <xf numFmtId="2" fontId="7" fillId="0" borderId="97" xfId="0" applyNumberFormat="1" applyFont="1" applyBorder="1" applyAlignment="1">
      <alignment horizontal="center"/>
    </xf>
    <xf numFmtId="167" fontId="7" fillId="7" borderId="22" xfId="0" applyNumberFormat="1" applyFont="1" applyFill="1" applyBorder="1"/>
    <xf numFmtId="44" fontId="7" fillId="7" borderId="22" xfId="1" applyFont="1" applyFill="1" applyBorder="1"/>
    <xf numFmtId="0" fontId="7" fillId="2" borderId="98" xfId="0" applyFont="1" applyFill="1" applyBorder="1"/>
    <xf numFmtId="0" fontId="7" fillId="0" borderId="38" xfId="0" applyFont="1" applyBorder="1"/>
    <xf numFmtId="8" fontId="4" fillId="7" borderId="65" xfId="1" applyNumberFormat="1" applyFont="1" applyFill="1" applyBorder="1" applyAlignment="1">
      <alignment horizontal="center" vertical="center" wrapText="1" shrinkToFit="1"/>
    </xf>
    <xf numFmtId="168" fontId="7" fillId="0" borderId="37" xfId="1" applyNumberFormat="1" applyFont="1" applyBorder="1" applyAlignment="1">
      <alignment horizontal="center"/>
    </xf>
    <xf numFmtId="164" fontId="7" fillId="0" borderId="99" xfId="0" applyNumberFormat="1" applyFont="1" applyBorder="1" applyAlignment="1">
      <alignment horizontal="center"/>
    </xf>
    <xf numFmtId="0" fontId="7" fillId="0" borderId="10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67" fontId="12" fillId="7" borderId="37" xfId="0" applyNumberFormat="1" applyFont="1" applyFill="1" applyBorder="1"/>
    <xf numFmtId="168" fontId="0" fillId="0" borderId="37" xfId="0" applyNumberFormat="1" applyBorder="1" applyAlignment="1">
      <alignment horizontal="center"/>
    </xf>
    <xf numFmtId="168" fontId="12" fillId="7" borderId="37" xfId="0" applyNumberFormat="1" applyFont="1" applyFill="1" applyBorder="1" applyAlignment="1">
      <alignment horizontal="center"/>
    </xf>
    <xf numFmtId="167" fontId="4" fillId="8" borderId="0" xfId="0" applyNumberFormat="1" applyFont="1" applyFill="1" applyAlignment="1">
      <alignment horizontal="center"/>
    </xf>
    <xf numFmtId="0" fontId="7" fillId="0" borderId="102" xfId="0" applyFont="1" applyBorder="1" applyAlignment="1">
      <alignment horizontal="center"/>
    </xf>
    <xf numFmtId="0" fontId="0" fillId="0" borderId="103" xfId="0" applyBorder="1" applyAlignment="1">
      <alignment wrapText="1"/>
    </xf>
    <xf numFmtId="0" fontId="7" fillId="5" borderId="43" xfId="0" applyFont="1" applyFill="1" applyBorder="1" applyAlignment="1">
      <alignment horizontal="center"/>
    </xf>
    <xf numFmtId="167" fontId="12" fillId="5" borderId="74" xfId="0" applyNumberFormat="1" applyFont="1" applyFill="1" applyBorder="1"/>
    <xf numFmtId="0" fontId="7" fillId="0" borderId="105" xfId="0" applyFont="1" applyBorder="1" applyAlignment="1">
      <alignment horizontal="center"/>
    </xf>
    <xf numFmtId="168" fontId="4" fillId="7" borderId="105" xfId="2" applyNumberFormat="1" applyFont="1" applyFill="1" applyBorder="1" applyAlignment="1">
      <alignment horizontal="center" wrapText="1" shrinkToFit="1"/>
    </xf>
    <xf numFmtId="0" fontId="7" fillId="0" borderId="43" xfId="0" applyFont="1" applyBorder="1" applyAlignment="1">
      <alignment horizontal="center"/>
    </xf>
    <xf numFmtId="0" fontId="7" fillId="0" borderId="37" xfId="0" applyFont="1" applyBorder="1" applyAlignment="1">
      <alignment horizontal="center" shrinkToFit="1"/>
    </xf>
    <xf numFmtId="0" fontId="7" fillId="5" borderId="37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 wrapText="1" shrinkToFit="1"/>
    </xf>
    <xf numFmtId="168" fontId="7" fillId="0" borderId="65" xfId="0" applyNumberFormat="1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168" fontId="7" fillId="7" borderId="108" xfId="0" applyNumberFormat="1" applyFont="1" applyFill="1" applyBorder="1" applyAlignment="1">
      <alignment horizontal="center"/>
    </xf>
    <xf numFmtId="164" fontId="7" fillId="0" borderId="101" xfId="0" applyNumberFormat="1" applyFont="1" applyBorder="1" applyAlignment="1">
      <alignment horizontal="center"/>
    </xf>
    <xf numFmtId="0" fontId="0" fillId="0" borderId="104" xfId="0" applyBorder="1"/>
    <xf numFmtId="0" fontId="7" fillId="0" borderId="46" xfId="0" applyFont="1" applyBorder="1" applyAlignment="1">
      <alignment horizontal="center"/>
    </xf>
    <xf numFmtId="0" fontId="7" fillId="0" borderId="45" xfId="0" applyFont="1" applyBorder="1" applyAlignment="1">
      <alignment wrapText="1" shrinkToFit="1"/>
    </xf>
    <xf numFmtId="0" fontId="7" fillId="0" borderId="106" xfId="0" applyFont="1" applyBorder="1" applyAlignment="1">
      <alignment horizontal="center"/>
    </xf>
    <xf numFmtId="0" fontId="7" fillId="0" borderId="107" xfId="0" applyFont="1" applyBorder="1" applyAlignment="1">
      <alignment wrapText="1" shrinkToFit="1"/>
    </xf>
    <xf numFmtId="0" fontId="0" fillId="0" borderId="0" xfId="0" applyAlignment="1">
      <alignment horizontal="center"/>
    </xf>
    <xf numFmtId="164" fontId="4" fillId="8" borderId="0" xfId="0" applyNumberFormat="1" applyFont="1" applyFill="1" applyAlignment="1">
      <alignment horizontal="center" vertical="center"/>
    </xf>
    <xf numFmtId="0" fontId="7" fillId="5" borderId="109" xfId="0" applyFont="1" applyFill="1" applyBorder="1" applyAlignment="1">
      <alignment horizontal="center"/>
    </xf>
    <xf numFmtId="0" fontId="7" fillId="0" borderId="110" xfId="0" applyFont="1" applyBorder="1" applyAlignment="1">
      <alignment horizontal="center" vertical="center"/>
    </xf>
    <xf numFmtId="168" fontId="7" fillId="7" borderId="82" xfId="0" applyNumberFormat="1" applyFont="1" applyFill="1" applyBorder="1" applyAlignment="1">
      <alignment horizontal="center"/>
    </xf>
    <xf numFmtId="44" fontId="4" fillId="7" borderId="53" xfId="1" applyFont="1" applyFill="1" applyBorder="1" applyAlignment="1">
      <alignment horizontal="center" vertical="center" wrapText="1" shrinkToFit="1"/>
    </xf>
    <xf numFmtId="164" fontId="7" fillId="0" borderId="83" xfId="0" applyNumberFormat="1" applyFont="1" applyBorder="1" applyAlignment="1">
      <alignment horizontal="center"/>
    </xf>
    <xf numFmtId="164" fontId="4" fillId="3" borderId="55" xfId="0" applyNumberFormat="1" applyFont="1" applyFill="1" applyBorder="1" applyAlignment="1">
      <alignment horizontal="center"/>
    </xf>
    <xf numFmtId="164" fontId="7" fillId="0" borderId="84" xfId="0" applyNumberFormat="1" applyFont="1" applyBorder="1" applyAlignment="1">
      <alignment horizontal="center"/>
    </xf>
    <xf numFmtId="164" fontId="4" fillId="3" borderId="57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68" fontId="12" fillId="7" borderId="111" xfId="0" applyNumberFormat="1" applyFont="1" applyFill="1" applyBorder="1" applyAlignment="1">
      <alignment horizontal="center"/>
    </xf>
    <xf numFmtId="168" fontId="12" fillId="7" borderId="112" xfId="1" applyNumberFormat="1" applyFont="1" applyFill="1" applyBorder="1" applyAlignment="1">
      <alignment horizontal="center"/>
    </xf>
    <xf numFmtId="168" fontId="12" fillId="7" borderId="113" xfId="0" applyNumberFormat="1" applyFont="1" applyFill="1" applyBorder="1" applyAlignment="1">
      <alignment horizontal="center"/>
    </xf>
    <xf numFmtId="0" fontId="0" fillId="0" borderId="24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3" xfId="0" applyBorder="1" applyAlignment="1">
      <alignment wrapText="1"/>
    </xf>
    <xf numFmtId="0" fontId="7" fillId="9" borderId="7" xfId="0" applyFont="1" applyFill="1" applyBorder="1" applyAlignment="1">
      <alignment wrapText="1"/>
    </xf>
    <xf numFmtId="0" fontId="0" fillId="9" borderId="12" xfId="0" applyFill="1" applyBorder="1" applyAlignment="1">
      <alignment wrapText="1"/>
    </xf>
    <xf numFmtId="0" fontId="0" fillId="0" borderId="28" xfId="0" applyBorder="1" applyAlignment="1">
      <alignment horizontal="center" wrapText="1"/>
    </xf>
    <xf numFmtId="0" fontId="8" fillId="0" borderId="24" xfId="0" applyFont="1" applyBorder="1" applyAlignment="1">
      <alignment wrapText="1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CFFCC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57151</xdr:rowOff>
    </xdr:from>
    <xdr:to>
      <xdr:col>16</xdr:col>
      <xdr:colOff>333375</xdr:colOff>
      <xdr:row>5</xdr:row>
      <xdr:rowOff>114301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927D6CD-09EC-48E1-9454-A13A8E2348C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19300" y="57151"/>
          <a:ext cx="3019425" cy="10096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57151</xdr:rowOff>
    </xdr:from>
    <xdr:to>
      <xdr:col>14</xdr:col>
      <xdr:colOff>247650</xdr:colOff>
      <xdr:row>5</xdr:row>
      <xdr:rowOff>114301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BF0069-AEF0-4749-ABA7-3A7C32EEA48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05100" y="57151"/>
          <a:ext cx="3019425" cy="10096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</xdr:rowOff>
    </xdr:from>
    <xdr:to>
      <xdr:col>15</xdr:col>
      <xdr:colOff>276225</xdr:colOff>
      <xdr:row>5</xdr:row>
      <xdr:rowOff>57151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C4196B-CE8F-443A-90DE-452B4667FFA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14600" y="1"/>
          <a:ext cx="2800350" cy="10096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0</xdr:rowOff>
    </xdr:from>
    <xdr:to>
      <xdr:col>15</xdr:col>
      <xdr:colOff>200025</xdr:colOff>
      <xdr:row>4</xdr:row>
      <xdr:rowOff>123825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955C1C-214F-4C4F-AA48-C29A6F1DAF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143125" y="0"/>
          <a:ext cx="2781300" cy="8858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0</xdr:rowOff>
    </xdr:from>
    <xdr:to>
      <xdr:col>14</xdr:col>
      <xdr:colOff>514350</xdr:colOff>
      <xdr:row>4</xdr:row>
      <xdr:rowOff>123825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9B99E1D-A5D1-4373-8A37-09D53CA2C2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171700" y="0"/>
          <a:ext cx="2952750" cy="8858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C808-C855-451F-874C-301F69AA8EE4}">
  <dimension ref="A7:Q46"/>
  <sheetViews>
    <sheetView view="pageLayout" topLeftCell="A7" zoomScaleNormal="100" workbookViewId="0">
      <selection activeCell="F41" sqref="F41"/>
    </sheetView>
  </sheetViews>
  <sheetFormatPr baseColWidth="10" defaultRowHeight="15" x14ac:dyDescent="0.25"/>
  <cols>
    <col min="1" max="1" width="4.7109375" customWidth="1"/>
    <col min="2" max="2" width="10.85546875" customWidth="1"/>
    <col min="3" max="3" width="13.140625" customWidth="1"/>
    <col min="4" max="4" width="11.5703125" customWidth="1"/>
    <col min="5" max="5" width="12.28515625" customWidth="1"/>
    <col min="6" max="7" width="0.140625" hidden="1" customWidth="1"/>
    <col min="8" max="8" width="10.140625" hidden="1" customWidth="1"/>
    <col min="9" max="9" width="7.140625" hidden="1" customWidth="1"/>
    <col min="10" max="10" width="11" hidden="1" customWidth="1"/>
    <col min="11" max="11" width="11.42578125" hidden="1" customWidth="1"/>
    <col min="12" max="12" width="6.42578125" hidden="1" customWidth="1"/>
    <col min="13" max="13" width="4.7109375" hidden="1" customWidth="1"/>
    <col min="14" max="14" width="11.85546875" customWidth="1"/>
    <col min="15" max="15" width="10.85546875" hidden="1" customWidth="1"/>
  </cols>
  <sheetData>
    <row r="7" spans="1:17" ht="18.75" x14ac:dyDescent="0.3">
      <c r="B7" s="96" t="s">
        <v>42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9" spans="1:17" ht="15.75" thickBot="1" x14ac:dyDescent="0.3">
      <c r="A9" t="s">
        <v>31</v>
      </c>
      <c r="M9" t="s">
        <v>32</v>
      </c>
    </row>
    <row r="10" spans="1:17" x14ac:dyDescent="0.25">
      <c r="A10" s="74"/>
      <c r="B10" s="1" t="s">
        <v>0</v>
      </c>
      <c r="C10" s="1"/>
      <c r="D10" s="1"/>
      <c r="E10" s="2"/>
      <c r="K10" s="58"/>
      <c r="L10" s="58"/>
      <c r="M10" s="75" t="s">
        <v>14</v>
      </c>
      <c r="N10" s="76" t="s">
        <v>15</v>
      </c>
      <c r="O10" s="76" t="s">
        <v>4</v>
      </c>
      <c r="P10" s="77"/>
      <c r="Q10" s="133"/>
    </row>
    <row r="11" spans="1:17" ht="45.75" thickBot="1" x14ac:dyDescent="0.3">
      <c r="A11" s="78"/>
      <c r="B11" s="58"/>
      <c r="C11" s="79" t="s">
        <v>1</v>
      </c>
      <c r="D11" s="79"/>
      <c r="E11" s="80"/>
      <c r="F11" s="81"/>
      <c r="G11" s="81"/>
      <c r="H11" s="81"/>
      <c r="I11" s="81"/>
      <c r="J11" s="81"/>
      <c r="K11" s="58"/>
      <c r="L11" s="58"/>
      <c r="M11" s="82"/>
      <c r="N11" s="83" t="s">
        <v>16</v>
      </c>
      <c r="O11" s="83" t="s">
        <v>17</v>
      </c>
      <c r="P11" s="84" t="s">
        <v>39</v>
      </c>
      <c r="Q11" s="151" t="s">
        <v>40</v>
      </c>
    </row>
    <row r="12" spans="1:17" ht="15.75" thickBot="1" x14ac:dyDescent="0.3">
      <c r="A12" s="85" t="s">
        <v>2</v>
      </c>
      <c r="B12" s="58" t="s">
        <v>3</v>
      </c>
      <c r="C12" s="86" t="s">
        <v>4</v>
      </c>
      <c r="D12" s="86" t="s">
        <v>5</v>
      </c>
      <c r="E12" s="87" t="s">
        <v>6</v>
      </c>
      <c r="F12" s="88"/>
      <c r="G12" s="89"/>
      <c r="H12" s="89"/>
      <c r="I12" s="89"/>
      <c r="J12" s="89"/>
      <c r="K12" s="58"/>
      <c r="L12" s="58"/>
      <c r="M12" s="143"/>
      <c r="N12" s="90"/>
      <c r="O12" s="90" t="s">
        <v>19</v>
      </c>
      <c r="P12" s="91"/>
      <c r="Q12" s="135"/>
    </row>
    <row r="13" spans="1:17" ht="15.75" thickBot="1" x14ac:dyDescent="0.3">
      <c r="A13" s="85" t="s">
        <v>7</v>
      </c>
      <c r="B13" s="58"/>
      <c r="C13" s="92" t="s">
        <v>2</v>
      </c>
      <c r="D13" s="92" t="s">
        <v>8</v>
      </c>
      <c r="E13" s="93" t="s">
        <v>9</v>
      </c>
      <c r="F13" s="94"/>
      <c r="G13" s="95"/>
      <c r="H13" s="95"/>
      <c r="I13" s="95"/>
      <c r="J13" s="95"/>
      <c r="K13" s="58"/>
      <c r="L13" s="58"/>
      <c r="M13" s="104">
        <v>1</v>
      </c>
      <c r="N13" s="146">
        <v>159.65</v>
      </c>
      <c r="O13" s="147">
        <v>113.63</v>
      </c>
      <c r="P13" s="158">
        <v>46.02</v>
      </c>
      <c r="Q13" s="155">
        <v>113.63</v>
      </c>
    </row>
    <row r="14" spans="1:17" ht="15.75" thickBot="1" x14ac:dyDescent="0.3">
      <c r="A14" s="14"/>
      <c r="C14" s="114" t="s">
        <v>10</v>
      </c>
      <c r="D14" s="114" t="s">
        <v>11</v>
      </c>
      <c r="E14" s="93" t="s">
        <v>12</v>
      </c>
      <c r="F14" s="17"/>
      <c r="G14" s="18"/>
      <c r="H14" s="19">
        <v>0.05</v>
      </c>
      <c r="I14" s="19">
        <v>0.05</v>
      </c>
      <c r="J14" s="112"/>
      <c r="K14" s="105"/>
      <c r="L14" s="105"/>
      <c r="M14" s="109">
        <v>2</v>
      </c>
      <c r="N14" s="102">
        <f>SUM(N13*2)</f>
        <v>319.3</v>
      </c>
      <c r="O14" s="148">
        <f>SUM(O13*2)</f>
        <v>227.26</v>
      </c>
      <c r="P14" s="103">
        <f>SUM(P13*2)</f>
        <v>92.04</v>
      </c>
      <c r="Q14" s="153">
        <f>SUM(Q13*2)</f>
        <v>227.26</v>
      </c>
    </row>
    <row r="15" spans="1:17" x14ac:dyDescent="0.25">
      <c r="A15" s="21"/>
      <c r="B15" s="22"/>
      <c r="C15" s="115"/>
      <c r="D15" s="218"/>
      <c r="E15" s="212"/>
      <c r="F15" s="26"/>
      <c r="G15" s="26"/>
      <c r="H15" s="26"/>
      <c r="I15" s="26"/>
      <c r="J15" s="26"/>
      <c r="K15" s="99"/>
      <c r="L15" s="99"/>
      <c r="M15" s="110">
        <v>3</v>
      </c>
      <c r="N15" s="102">
        <f>SUM(N13*3)</f>
        <v>478.95000000000005</v>
      </c>
      <c r="O15" s="148">
        <f>SUM(O13*3)</f>
        <v>340.89</v>
      </c>
      <c r="P15" s="103">
        <f>SUM(P13*3)</f>
        <v>138.06</v>
      </c>
      <c r="Q15" s="153">
        <f>SUM(Q13*3)</f>
        <v>340.89</v>
      </c>
    </row>
    <row r="16" spans="1:17" x14ac:dyDescent="0.25">
      <c r="A16" s="28">
        <v>2</v>
      </c>
      <c r="B16" s="113">
        <f>SUM(J35)</f>
        <v>4074.4548</v>
      </c>
      <c r="C16" s="116">
        <v>805</v>
      </c>
      <c r="D16" s="219">
        <f>SUM(D35)*30.42</f>
        <v>79.700400000000002</v>
      </c>
      <c r="E16" s="123">
        <f>SUM(B16-C16)</f>
        <v>3269.4548</v>
      </c>
      <c r="F16" s="34">
        <f>SUM(B35+H35)*30.42</f>
        <v>2776.1292000000003</v>
      </c>
      <c r="G16" s="34">
        <f>SUM(F16-C16)</f>
        <v>1971.1292000000003</v>
      </c>
      <c r="H16" s="34">
        <f>SUM(G16*5/100)</f>
        <v>98.556460000000001</v>
      </c>
      <c r="I16" s="34">
        <f>SUM(G16-H16)</f>
        <v>1872.5727400000003</v>
      </c>
      <c r="J16" s="34"/>
      <c r="K16" s="106"/>
      <c r="L16" s="106"/>
      <c r="M16" s="110">
        <v>4</v>
      </c>
      <c r="N16" s="102">
        <f>SUM(N13*4)</f>
        <v>638.6</v>
      </c>
      <c r="O16" s="148">
        <f>SUM(O13*4)</f>
        <v>454.52</v>
      </c>
      <c r="P16" s="103">
        <f>SUM(P13*4)</f>
        <v>184.08</v>
      </c>
      <c r="Q16" s="153">
        <f>SUM(Q13*4)</f>
        <v>454.52</v>
      </c>
    </row>
    <row r="17" spans="1:17" ht="15.75" thickBot="1" x14ac:dyDescent="0.3">
      <c r="A17" s="37"/>
      <c r="B17" s="38"/>
      <c r="C17" s="117"/>
      <c r="D17" s="220"/>
      <c r="E17" s="213"/>
      <c r="F17" s="42"/>
      <c r="G17" s="42"/>
      <c r="H17" s="42"/>
      <c r="I17" s="42"/>
      <c r="J17" s="42"/>
      <c r="K17" s="107"/>
      <c r="L17" s="107"/>
      <c r="M17" s="110">
        <v>5</v>
      </c>
      <c r="N17" s="102">
        <f>SUM(N13*5)</f>
        <v>798.25</v>
      </c>
      <c r="O17" s="148">
        <f>SUM(O13*5)</f>
        <v>568.15</v>
      </c>
      <c r="P17" s="103">
        <f>SUM(P13*5)</f>
        <v>230.10000000000002</v>
      </c>
      <c r="Q17" s="153">
        <f>SUM(Q13*5)</f>
        <v>568.15</v>
      </c>
    </row>
    <row r="18" spans="1:17" x14ac:dyDescent="0.25">
      <c r="A18" s="21"/>
      <c r="B18" s="44"/>
      <c r="C18" s="118"/>
      <c r="D18" s="221"/>
      <c r="E18" s="214"/>
      <c r="F18" s="48"/>
      <c r="G18" s="48"/>
      <c r="H18" s="48"/>
      <c r="I18" s="48"/>
      <c r="J18" s="48"/>
      <c r="K18" s="107"/>
      <c r="L18" s="107"/>
      <c r="M18" s="110">
        <v>6</v>
      </c>
      <c r="N18" s="102">
        <f>SUM(N13*6)</f>
        <v>957.90000000000009</v>
      </c>
      <c r="O18" s="148">
        <f>SUM(O13*6)</f>
        <v>681.78</v>
      </c>
      <c r="P18" s="103">
        <f>SUM(P13*6)</f>
        <v>276.12</v>
      </c>
      <c r="Q18" s="153">
        <f>SUM(Q13*6)</f>
        <v>681.78</v>
      </c>
    </row>
    <row r="19" spans="1:17" x14ac:dyDescent="0.25">
      <c r="A19" s="28">
        <v>3</v>
      </c>
      <c r="B19" s="51">
        <f>SUM(J36)</f>
        <v>4588.5527999999995</v>
      </c>
      <c r="C19" s="116">
        <v>1319</v>
      </c>
      <c r="D19" s="219">
        <f>SUM(D36)*30.42</f>
        <v>79.700400000000002</v>
      </c>
      <c r="E19" s="123">
        <f>SUM(B19-C19)</f>
        <v>3269.5527999999995</v>
      </c>
      <c r="F19" s="34">
        <f>SUM(B36+H36)*30.42</f>
        <v>3290.2272000000003</v>
      </c>
      <c r="G19" s="34">
        <f>SUM(F19-C19)</f>
        <v>1971.2272000000003</v>
      </c>
      <c r="H19" s="34">
        <f>SUM(G19*5/100)</f>
        <v>98.561360000000022</v>
      </c>
      <c r="I19" s="34">
        <f>SUM(G19-H19)</f>
        <v>1872.6658400000003</v>
      </c>
      <c r="J19" s="34"/>
      <c r="K19" s="106"/>
      <c r="L19" s="106"/>
      <c r="M19" s="110">
        <v>7</v>
      </c>
      <c r="N19" s="102">
        <f>SUM(N13*7)</f>
        <v>1117.55</v>
      </c>
      <c r="O19" s="148">
        <f>SUM(O13*7)</f>
        <v>795.41</v>
      </c>
      <c r="P19" s="103">
        <f>SUM(P13*7)</f>
        <v>322.14000000000004</v>
      </c>
      <c r="Q19" s="153">
        <f>SUM(Q13*7)</f>
        <v>795.41</v>
      </c>
    </row>
    <row r="20" spans="1:17" ht="15.75" thickBot="1" x14ac:dyDescent="0.3">
      <c r="A20" s="37"/>
      <c r="B20" s="38"/>
      <c r="C20" s="117"/>
      <c r="D20" s="220"/>
      <c r="E20" s="213"/>
      <c r="F20" s="42"/>
      <c r="G20" s="42"/>
      <c r="H20" s="42"/>
      <c r="I20" s="42"/>
      <c r="J20" s="42"/>
      <c r="K20" s="107"/>
      <c r="L20" s="107"/>
      <c r="M20" s="110">
        <v>8</v>
      </c>
      <c r="N20" s="102">
        <f>SUM(N13*8)</f>
        <v>1277.2</v>
      </c>
      <c r="O20" s="148">
        <f>SUM(O13*8)</f>
        <v>909.04</v>
      </c>
      <c r="P20" s="103">
        <f>SUM(P13*8)</f>
        <v>368.16</v>
      </c>
      <c r="Q20" s="153">
        <f>SUM(Q13*8)</f>
        <v>909.04</v>
      </c>
    </row>
    <row r="21" spans="1:17" x14ac:dyDescent="0.25">
      <c r="A21" s="21"/>
      <c r="B21" s="44"/>
      <c r="C21" s="118"/>
      <c r="D21" s="221"/>
      <c r="E21" s="214"/>
      <c r="F21" s="48"/>
      <c r="G21" s="48"/>
      <c r="H21" s="48"/>
      <c r="I21" s="48"/>
      <c r="J21" s="48"/>
      <c r="K21" s="107"/>
      <c r="L21" s="107"/>
      <c r="M21" s="110">
        <v>9</v>
      </c>
      <c r="N21" s="102">
        <f>SUM(N13*9)</f>
        <v>1436.8500000000001</v>
      </c>
      <c r="O21" s="148">
        <f>SUM(O13*9)</f>
        <v>1022.67</v>
      </c>
      <c r="P21" s="103">
        <f>SUM(P13*9)</f>
        <v>414.18</v>
      </c>
      <c r="Q21" s="153">
        <f>SUM(Q13*9)</f>
        <v>1022.67</v>
      </c>
    </row>
    <row r="22" spans="1:17" x14ac:dyDescent="0.25">
      <c r="A22" s="28">
        <v>4</v>
      </c>
      <c r="B22" s="51">
        <f>SUM(J37)</f>
        <v>5124.5532000000003</v>
      </c>
      <c r="C22" s="116">
        <v>1855</v>
      </c>
      <c r="D22" s="219">
        <f>SUM(D37)*30.42</f>
        <v>79.700400000000002</v>
      </c>
      <c r="E22" s="123">
        <f>SUM(B22-C22)</f>
        <v>3269.5532000000003</v>
      </c>
      <c r="F22" s="34">
        <f>SUM(B37+H37)*30.42</f>
        <v>3826.2276000000002</v>
      </c>
      <c r="G22" s="34">
        <f>SUM(F22-C22)</f>
        <v>1971.2276000000002</v>
      </c>
      <c r="H22" s="34">
        <f>SUM(G22*5/100)</f>
        <v>98.561380000000014</v>
      </c>
      <c r="I22" s="34">
        <f>SUM(G22-H22)</f>
        <v>1872.6662200000001</v>
      </c>
      <c r="J22" s="34"/>
      <c r="K22" s="106"/>
      <c r="L22" s="106"/>
      <c r="M22" s="110">
        <v>10</v>
      </c>
      <c r="N22" s="102">
        <f>SUM(N13*10)</f>
        <v>1596.5</v>
      </c>
      <c r="O22" s="148">
        <f>SUM(O13*10)</f>
        <v>1136.3</v>
      </c>
      <c r="P22" s="103">
        <f>SUM(P13*10)</f>
        <v>460.20000000000005</v>
      </c>
      <c r="Q22" s="153">
        <f>SUM(Q13*10)</f>
        <v>1136.3</v>
      </c>
    </row>
    <row r="23" spans="1:17" ht="15.75" thickBot="1" x14ac:dyDescent="0.3">
      <c r="A23" s="37"/>
      <c r="B23" s="38"/>
      <c r="C23" s="117"/>
      <c r="D23" s="220"/>
      <c r="E23" s="213"/>
      <c r="F23" s="42"/>
      <c r="G23" s="42"/>
      <c r="H23" s="42"/>
      <c r="I23" s="42"/>
      <c r="J23" s="42"/>
      <c r="K23" s="107"/>
      <c r="L23" s="107"/>
      <c r="M23" s="110">
        <v>11</v>
      </c>
      <c r="N23" s="102">
        <f>SUM(N13*11)</f>
        <v>1756.15</v>
      </c>
      <c r="O23" s="148">
        <f>SUM(O13*11)</f>
        <v>1249.9299999999998</v>
      </c>
      <c r="P23" s="103">
        <f>SUM(P13*11)</f>
        <v>506.22</v>
      </c>
      <c r="Q23" s="153">
        <f>SUM(Q13*11)</f>
        <v>1249.9299999999998</v>
      </c>
    </row>
    <row r="24" spans="1:17" x14ac:dyDescent="0.25">
      <c r="A24" s="21"/>
      <c r="B24" s="44"/>
      <c r="C24" s="118"/>
      <c r="D24" s="221"/>
      <c r="E24" s="214"/>
      <c r="F24" s="48"/>
      <c r="G24" s="48"/>
      <c r="H24" s="48"/>
      <c r="I24" s="48"/>
      <c r="J24" s="48"/>
      <c r="K24" s="107"/>
      <c r="L24" s="107"/>
      <c r="M24" s="110">
        <v>12</v>
      </c>
      <c r="N24" s="102">
        <f>SUM(N13*12)</f>
        <v>1915.8000000000002</v>
      </c>
      <c r="O24" s="148">
        <f>SUM(O13*12)</f>
        <v>1363.56</v>
      </c>
      <c r="P24" s="103">
        <f>SUM(P13*12)</f>
        <v>552.24</v>
      </c>
      <c r="Q24" s="153">
        <f>SUM(Q13*12)</f>
        <v>1363.56</v>
      </c>
    </row>
    <row r="25" spans="1:17" x14ac:dyDescent="0.25">
      <c r="A25" s="28">
        <v>5</v>
      </c>
      <c r="B25" s="51">
        <f>SUM(J38)</f>
        <v>5365.4796000000006</v>
      </c>
      <c r="C25" s="116">
        <v>2096</v>
      </c>
      <c r="D25" s="219">
        <f>SUM(D38)*30.42</f>
        <v>79.700400000000002</v>
      </c>
      <c r="E25" s="123">
        <f>SUM(B25-C25)</f>
        <v>3269.4796000000006</v>
      </c>
      <c r="F25" s="34">
        <f>SUM(B38+H38)*30.42</f>
        <v>4067.1540000000009</v>
      </c>
      <c r="G25" s="34">
        <f>SUM(F25-C25)</f>
        <v>1971.1540000000009</v>
      </c>
      <c r="H25" s="34">
        <f>SUM(G25*5/100)</f>
        <v>98.55770000000004</v>
      </c>
      <c r="I25" s="34">
        <f>SUM(G25-H25)</f>
        <v>1872.5963000000008</v>
      </c>
      <c r="J25" s="34"/>
      <c r="K25" s="106"/>
      <c r="L25" s="106"/>
      <c r="M25" s="110">
        <v>13</v>
      </c>
      <c r="N25" s="102">
        <f>SUM(N13*13)</f>
        <v>2075.4500000000003</v>
      </c>
      <c r="O25" s="148">
        <f>SUM(O13*13)</f>
        <v>1477.19</v>
      </c>
      <c r="P25" s="103">
        <f>SUM(P13*13)</f>
        <v>598.26</v>
      </c>
      <c r="Q25" s="153">
        <f>SUM(Q13*13)</f>
        <v>1477.19</v>
      </c>
    </row>
    <row r="26" spans="1:17" ht="15.75" thickBot="1" x14ac:dyDescent="0.3">
      <c r="A26" s="28"/>
      <c r="B26" s="198"/>
      <c r="C26" s="119"/>
      <c r="D26" s="222"/>
      <c r="E26" s="215"/>
      <c r="F26" s="55"/>
      <c r="G26" s="55"/>
      <c r="H26" s="55"/>
      <c r="I26" s="55"/>
      <c r="J26" s="55"/>
      <c r="K26" s="107"/>
      <c r="L26" s="107"/>
      <c r="M26" s="110">
        <v>14</v>
      </c>
      <c r="N26" s="102">
        <f>SUM(N13*14)</f>
        <v>2235.1</v>
      </c>
      <c r="O26" s="148">
        <f>SUM(O13*14)</f>
        <v>1590.82</v>
      </c>
      <c r="P26" s="103">
        <f>SUM(P13*14)</f>
        <v>644.28000000000009</v>
      </c>
      <c r="Q26" s="153">
        <f>SUM(Q13*14)</f>
        <v>1590.82</v>
      </c>
    </row>
    <row r="27" spans="1:17" x14ac:dyDescent="0.25">
      <c r="A27" s="199"/>
      <c r="B27" s="200"/>
      <c r="C27" s="121"/>
      <c r="D27" s="223"/>
      <c r="E27" s="216"/>
      <c r="F27" s="48"/>
      <c r="G27" s="48"/>
      <c r="H27" s="48"/>
      <c r="I27" s="48"/>
      <c r="J27" s="48"/>
      <c r="K27" s="107"/>
      <c r="L27" s="107"/>
      <c r="M27" s="110">
        <v>15</v>
      </c>
      <c r="N27" s="102">
        <f>SUM(N13*15)</f>
        <v>2394.75</v>
      </c>
      <c r="O27" s="148">
        <f>SUM(O13*15)</f>
        <v>1704.4499999999998</v>
      </c>
      <c r="P27" s="103">
        <f>SUM(P13*15)</f>
        <v>690.30000000000007</v>
      </c>
      <c r="Q27" s="153">
        <f>SUM(Q13*15)</f>
        <v>1704.4499999999998</v>
      </c>
    </row>
    <row r="28" spans="1:17" x14ac:dyDescent="0.25">
      <c r="A28" s="178" t="s">
        <v>13</v>
      </c>
      <c r="B28" s="51"/>
      <c r="C28" s="125">
        <v>1854</v>
      </c>
      <c r="D28" s="224">
        <f>SUM(D39)*16</f>
        <v>41.92</v>
      </c>
      <c r="E28" s="123"/>
      <c r="F28" s="34"/>
      <c r="G28" s="34"/>
      <c r="H28" s="34"/>
      <c r="I28" s="34"/>
      <c r="J28" s="34"/>
      <c r="K28" s="107"/>
      <c r="L28" s="108"/>
      <c r="M28" s="110">
        <v>16</v>
      </c>
      <c r="N28" s="102">
        <f>SUM(N13*16)</f>
        <v>2554.4</v>
      </c>
      <c r="O28" s="148">
        <f>SUM(O13*16)</f>
        <v>1818.08</v>
      </c>
      <c r="P28" s="103">
        <f>SUM(P13*16)</f>
        <v>736.32</v>
      </c>
      <c r="Q28" s="153">
        <f>SUM(Q13*16)</f>
        <v>1818.08</v>
      </c>
    </row>
    <row r="29" spans="1:17" ht="15.75" thickBot="1" x14ac:dyDescent="0.3">
      <c r="A29" s="184" t="s">
        <v>46</v>
      </c>
      <c r="B29" s="185"/>
      <c r="C29" s="195">
        <v>1685</v>
      </c>
      <c r="D29" s="225"/>
      <c r="E29" s="217"/>
      <c r="F29" s="55"/>
      <c r="G29" s="55"/>
      <c r="H29" s="55"/>
      <c r="I29" s="55"/>
      <c r="J29" s="55"/>
      <c r="K29" s="107"/>
      <c r="L29" s="108"/>
      <c r="M29" s="144">
        <v>17</v>
      </c>
      <c r="N29" s="145">
        <f>SUM(N13*17)</f>
        <v>2714.05</v>
      </c>
      <c r="O29" s="149"/>
      <c r="P29" s="150">
        <v>853.93</v>
      </c>
      <c r="Q29" s="154">
        <v>1854</v>
      </c>
    </row>
    <row r="30" spans="1:17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</row>
    <row r="31" spans="1:17" x14ac:dyDescent="0.25">
      <c r="M31" s="127"/>
      <c r="N31" s="136"/>
      <c r="O31" s="136"/>
      <c r="P31" s="129" t="s">
        <v>48</v>
      </c>
      <c r="Q31" s="99"/>
    </row>
    <row r="32" spans="1:17" x14ac:dyDescent="0.25">
      <c r="A32" s="5" t="s">
        <v>20</v>
      </c>
      <c r="B32" s="71"/>
      <c r="C32" s="71"/>
      <c r="D32" s="71"/>
      <c r="E32" s="72"/>
      <c r="F32" s="73"/>
      <c r="G32" s="12"/>
      <c r="H32" s="12"/>
      <c r="I32" s="12"/>
      <c r="J32" s="12"/>
      <c r="K32" s="12"/>
      <c r="M32" s="127"/>
      <c r="N32" s="136"/>
      <c r="O32" s="136"/>
      <c r="P32" s="129"/>
      <c r="Q32" s="99"/>
    </row>
    <row r="33" spans="1:17" x14ac:dyDescent="0.25">
      <c r="A33" s="272" t="s">
        <v>21</v>
      </c>
      <c r="B33" s="272" t="s">
        <v>22</v>
      </c>
      <c r="C33" s="272" t="s">
        <v>23</v>
      </c>
      <c r="D33" s="60" t="s">
        <v>5</v>
      </c>
      <c r="E33" s="273" t="s">
        <v>24</v>
      </c>
      <c r="F33" s="274" t="s">
        <v>25</v>
      </c>
      <c r="G33" s="272" t="s">
        <v>26</v>
      </c>
      <c r="H33" s="272" t="s">
        <v>27</v>
      </c>
      <c r="I33" s="59"/>
      <c r="J33" s="59"/>
      <c r="M33" s="127"/>
      <c r="N33" s="136"/>
      <c r="O33" s="136"/>
      <c r="P33" s="129"/>
      <c r="Q33" s="99"/>
    </row>
    <row r="34" spans="1:17" x14ac:dyDescent="0.25">
      <c r="A34" s="272"/>
      <c r="B34" s="272"/>
      <c r="C34" s="272"/>
      <c r="D34" s="60" t="s">
        <v>28</v>
      </c>
      <c r="E34" s="273"/>
      <c r="F34" s="274"/>
      <c r="G34" s="272"/>
      <c r="H34" s="272"/>
      <c r="I34" s="59"/>
      <c r="J34" s="59"/>
      <c r="M34" s="127"/>
      <c r="N34" s="136"/>
      <c r="O34" s="136"/>
      <c r="P34" s="129"/>
      <c r="Q34" s="99"/>
    </row>
    <row r="35" spans="1:17" x14ac:dyDescent="0.25">
      <c r="A35" s="61">
        <v>2</v>
      </c>
      <c r="B35" s="62">
        <v>87.92</v>
      </c>
      <c r="C35" s="63">
        <v>16.77</v>
      </c>
      <c r="D35" s="63">
        <v>2.62</v>
      </c>
      <c r="E35" s="64">
        <v>11.18</v>
      </c>
      <c r="F35" s="65">
        <v>15.45</v>
      </c>
      <c r="G35" s="65">
        <v>0</v>
      </c>
      <c r="H35" s="66">
        <v>3.34</v>
      </c>
      <c r="I35" s="67">
        <f>SUM(B35:F35)</f>
        <v>133.94</v>
      </c>
      <c r="J35" s="67">
        <f>SUM(I35)*30.42</f>
        <v>4074.4548</v>
      </c>
      <c r="K35" s="13"/>
      <c r="L35" s="13"/>
      <c r="M35" s="127"/>
      <c r="N35" s="136"/>
      <c r="O35" s="136"/>
      <c r="P35" s="129"/>
      <c r="Q35" s="99"/>
    </row>
    <row r="36" spans="1:17" x14ac:dyDescent="0.25">
      <c r="A36" s="68">
        <v>3</v>
      </c>
      <c r="B36" s="69">
        <v>104.82</v>
      </c>
      <c r="C36" s="63">
        <v>16.77</v>
      </c>
      <c r="D36" s="63">
        <v>2.62</v>
      </c>
      <c r="E36" s="64">
        <v>11.18</v>
      </c>
      <c r="F36" s="65">
        <v>15.45</v>
      </c>
      <c r="G36" s="65">
        <v>0</v>
      </c>
      <c r="H36" s="66">
        <v>3.34</v>
      </c>
      <c r="I36" s="67">
        <f>SUM(B36:F36)</f>
        <v>150.83999999999997</v>
      </c>
      <c r="J36" s="67">
        <f>SUM(I36)*30.42</f>
        <v>4588.5527999999995</v>
      </c>
      <c r="K36" s="13"/>
      <c r="L36" s="13"/>
      <c r="M36" s="127"/>
      <c r="N36" s="136"/>
      <c r="O36" s="136"/>
      <c r="P36" s="129"/>
      <c r="Q36" s="99"/>
    </row>
    <row r="37" spans="1:17" x14ac:dyDescent="0.25">
      <c r="A37" s="68">
        <v>4</v>
      </c>
      <c r="B37" s="69">
        <v>122.44</v>
      </c>
      <c r="C37" s="63">
        <v>16.77</v>
      </c>
      <c r="D37" s="63">
        <v>2.62</v>
      </c>
      <c r="E37" s="64">
        <v>11.18</v>
      </c>
      <c r="F37" s="65">
        <v>15.45</v>
      </c>
      <c r="G37" s="65">
        <v>0</v>
      </c>
      <c r="H37" s="66">
        <v>3.34</v>
      </c>
      <c r="I37" s="67">
        <f>SUM(B37:F37)</f>
        <v>168.46</v>
      </c>
      <c r="J37" s="67">
        <f>SUM(I37)*30.42</f>
        <v>5124.5532000000003</v>
      </c>
      <c r="K37" s="13"/>
      <c r="L37" s="13"/>
      <c r="M37" s="127"/>
      <c r="N37" s="136"/>
      <c r="O37" s="136"/>
      <c r="P37" s="129"/>
      <c r="Q37" s="99"/>
    </row>
    <row r="38" spans="1:17" x14ac:dyDescent="0.25">
      <c r="A38" s="68">
        <v>5</v>
      </c>
      <c r="B38" s="69">
        <v>130.36000000000001</v>
      </c>
      <c r="C38" s="63">
        <v>16.77</v>
      </c>
      <c r="D38" s="63">
        <v>2.62</v>
      </c>
      <c r="E38" s="64">
        <v>11.18</v>
      </c>
      <c r="F38" s="65">
        <v>15.45</v>
      </c>
      <c r="G38" s="65">
        <v>0</v>
      </c>
      <c r="H38" s="66">
        <v>3.34</v>
      </c>
      <c r="I38" s="67">
        <f>SUM(B38:F38)</f>
        <v>176.38000000000002</v>
      </c>
      <c r="J38" s="67">
        <f>SUM(I38)*30.42</f>
        <v>5365.4796000000006</v>
      </c>
      <c r="K38" s="13"/>
      <c r="L38" s="13"/>
      <c r="M38" s="127"/>
      <c r="N38" s="136"/>
      <c r="O38" s="136"/>
      <c r="P38" s="129"/>
      <c r="Q38" s="99"/>
    </row>
    <row r="39" spans="1:17" x14ac:dyDescent="0.25">
      <c r="A39" s="70" t="s">
        <v>13</v>
      </c>
      <c r="B39" s="69">
        <v>113.63</v>
      </c>
      <c r="C39" s="63">
        <v>16.77</v>
      </c>
      <c r="D39" s="63">
        <v>2.62</v>
      </c>
      <c r="E39" s="64">
        <v>11.18</v>
      </c>
      <c r="F39" s="65">
        <v>15.45</v>
      </c>
      <c r="G39" s="65">
        <v>0</v>
      </c>
      <c r="H39" s="66">
        <v>3.34</v>
      </c>
      <c r="I39" s="67">
        <f>SUM(B39:F39)</f>
        <v>159.65</v>
      </c>
      <c r="J39" s="67">
        <f>SUM(I39)*19</f>
        <v>3033.35</v>
      </c>
      <c r="K39" s="13"/>
      <c r="L39" s="13"/>
      <c r="M39" s="127"/>
      <c r="N39" s="136"/>
      <c r="O39" s="136"/>
      <c r="P39" s="129"/>
      <c r="Q39" s="99"/>
    </row>
    <row r="40" spans="1:17" x14ac:dyDescent="0.25">
      <c r="A40" s="7"/>
      <c r="B40" s="8"/>
      <c r="C40" s="9"/>
      <c r="D40" s="9"/>
      <c r="E40" s="10"/>
      <c r="F40" s="10"/>
      <c r="G40" s="10"/>
      <c r="H40" s="10"/>
      <c r="I40" s="10"/>
      <c r="J40" s="10"/>
      <c r="K40" s="6"/>
      <c r="L40" s="6"/>
      <c r="M40" s="127"/>
      <c r="N40" s="136"/>
      <c r="O40" s="136"/>
      <c r="P40" s="129"/>
      <c r="Q40" s="99"/>
    </row>
    <row r="41" spans="1:17" x14ac:dyDescent="0.25">
      <c r="A41" s="11" t="s">
        <v>29</v>
      </c>
      <c r="B41" s="12" t="s">
        <v>49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1" t="s">
        <v>29</v>
      </c>
      <c r="B42" s="12" t="s">
        <v>30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1" t="s">
        <v>29</v>
      </c>
      <c r="B43" s="12" t="s">
        <v>44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1" t="s">
        <v>29</v>
      </c>
      <c r="B44" s="12" t="s">
        <v>45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7" ht="15.75" x14ac:dyDescent="0.25">
      <c r="B46" s="3"/>
    </row>
  </sheetData>
  <mergeCells count="7">
    <mergeCell ref="H33:H34"/>
    <mergeCell ref="A33:A34"/>
    <mergeCell ref="B33:B34"/>
    <mergeCell ref="C33:C34"/>
    <mergeCell ref="E33:E34"/>
    <mergeCell ref="F33:F34"/>
    <mergeCell ref="G33:G34"/>
  </mergeCells>
  <pageMargins left="0.7" right="0.7" top="0.78740157499999996" bottom="0.78740157499999996" header="0.3" footer="0.3"/>
  <pageSetup paperSize="9" orientation="portrait" r:id="rId1"/>
  <headerFooter>
    <oddFooter xml:space="preserve">&amp;LStand: 01.01.2024&amp;RFreigabe: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3594-0C21-4165-A75B-876D6E8F2821}">
  <dimension ref="A7:Q46"/>
  <sheetViews>
    <sheetView view="pageLayout" topLeftCell="A12" zoomScaleNormal="100" workbookViewId="0">
      <selection activeCell="I16" sqref="I16"/>
    </sheetView>
  </sheetViews>
  <sheetFormatPr baseColWidth="10" defaultRowHeight="15" x14ac:dyDescent="0.25"/>
  <cols>
    <col min="1" max="1" width="4.7109375" customWidth="1"/>
    <col min="2" max="3" width="10" customWidth="1"/>
    <col min="4" max="4" width="11.42578125" customWidth="1"/>
    <col min="5" max="5" width="9.85546875" customWidth="1"/>
    <col min="6" max="6" width="9.5703125" hidden="1" customWidth="1"/>
    <col min="7" max="7" width="5" hidden="1" customWidth="1"/>
    <col min="8" max="8" width="10.5703125" hidden="1" customWidth="1"/>
    <col min="9" max="9" width="12.5703125" hidden="1" customWidth="1"/>
    <col min="10" max="10" width="12.140625" hidden="1" customWidth="1"/>
    <col min="11" max="11" width="9.7109375" customWidth="1"/>
    <col min="12" max="12" width="2.28515625" customWidth="1"/>
    <col min="13" max="13" width="4" customWidth="1"/>
    <col min="14" max="14" width="11" customWidth="1"/>
    <col min="15" max="15" width="10.42578125" customWidth="1"/>
    <col min="16" max="16" width="11" customWidth="1"/>
    <col min="17" max="17" width="0.140625" customWidth="1"/>
    <col min="18" max="18" width="11.42578125" customWidth="1"/>
  </cols>
  <sheetData>
    <row r="7" spans="1:17" ht="30" customHeight="1" x14ac:dyDescent="0.3">
      <c r="B7" s="96" t="s">
        <v>42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7" ht="24" customHeight="1" thickBot="1" x14ac:dyDescent="0.3">
      <c r="M8" t="s">
        <v>32</v>
      </c>
    </row>
    <row r="9" spans="1:17" ht="24" customHeight="1" thickBot="1" x14ac:dyDescent="0.3">
      <c r="A9" t="s">
        <v>31</v>
      </c>
      <c r="M9" s="239"/>
      <c r="N9" s="192" t="s">
        <v>50</v>
      </c>
      <c r="O9" s="192" t="s">
        <v>51</v>
      </c>
      <c r="P9" s="246" t="s">
        <v>52</v>
      </c>
      <c r="Q9" s="240" t="s">
        <v>40</v>
      </c>
    </row>
    <row r="10" spans="1:17" ht="17.25" customHeight="1" x14ac:dyDescent="0.25">
      <c r="A10" s="74"/>
      <c r="B10" s="1" t="s">
        <v>0</v>
      </c>
      <c r="C10" s="1"/>
      <c r="D10" s="1"/>
      <c r="E10" s="2"/>
      <c r="K10" s="58"/>
      <c r="L10" s="58"/>
      <c r="M10" s="241"/>
      <c r="N10" s="247"/>
      <c r="O10" s="247" t="s">
        <v>19</v>
      </c>
      <c r="P10" s="248" t="s">
        <v>18</v>
      </c>
      <c r="Q10" s="242"/>
    </row>
    <row r="11" spans="1:17" ht="15.75" thickBot="1" x14ac:dyDescent="0.3">
      <c r="A11" s="78"/>
      <c r="B11" s="58"/>
      <c r="C11" s="79" t="s">
        <v>1</v>
      </c>
      <c r="D11" s="79"/>
      <c r="E11" s="80"/>
      <c r="F11" s="81"/>
      <c r="G11" s="81"/>
      <c r="H11" s="81"/>
      <c r="I11" s="81"/>
      <c r="J11" s="81"/>
      <c r="K11" s="58"/>
      <c r="L11" s="58"/>
      <c r="M11" s="196">
        <v>1</v>
      </c>
      <c r="N11" s="243">
        <v>159.65</v>
      </c>
      <c r="O11" s="243">
        <v>113.63</v>
      </c>
      <c r="P11" s="244">
        <v>46.03</v>
      </c>
      <c r="Q11" s="197"/>
    </row>
    <row r="12" spans="1:17" ht="15.75" thickBot="1" x14ac:dyDescent="0.3">
      <c r="A12" s="85" t="s">
        <v>2</v>
      </c>
      <c r="B12" s="58" t="s">
        <v>3</v>
      </c>
      <c r="C12" s="86" t="s">
        <v>4</v>
      </c>
      <c r="D12" s="86" t="s">
        <v>5</v>
      </c>
      <c r="E12" s="87" t="s">
        <v>6</v>
      </c>
      <c r="F12" s="88"/>
      <c r="G12" s="89"/>
      <c r="H12" s="89"/>
      <c r="I12" s="89"/>
      <c r="J12" s="89"/>
      <c r="K12" s="58"/>
      <c r="L12" s="58"/>
      <c r="M12" s="196">
        <v>2</v>
      </c>
      <c r="N12" s="192">
        <f>SUM(N11*2)</f>
        <v>319.3</v>
      </c>
      <c r="O12" s="192">
        <f>SUM(O11*2)</f>
        <v>227.26</v>
      </c>
      <c r="P12" s="103">
        <f>SUM(P11*2)</f>
        <v>92.06</v>
      </c>
      <c r="Q12" s="197"/>
    </row>
    <row r="13" spans="1:17" x14ac:dyDescent="0.25">
      <c r="A13" s="85" t="s">
        <v>7</v>
      </c>
      <c r="B13" s="58"/>
      <c r="C13" s="92" t="s">
        <v>2</v>
      </c>
      <c r="D13" s="92" t="s">
        <v>8</v>
      </c>
      <c r="E13" s="93" t="s">
        <v>9</v>
      </c>
      <c r="F13" s="94"/>
      <c r="G13" s="95"/>
      <c r="H13" s="95"/>
      <c r="I13" s="95"/>
      <c r="J13" s="156"/>
      <c r="K13" s="275" t="s">
        <v>33</v>
      </c>
      <c r="L13" s="58"/>
      <c r="M13" s="189">
        <v>3</v>
      </c>
      <c r="N13" s="187">
        <f>SUM(N11*3)</f>
        <v>478.95000000000005</v>
      </c>
      <c r="O13" s="187">
        <f>SUM(O11*3)</f>
        <v>340.89</v>
      </c>
      <c r="P13" s="103">
        <f>SUM(P11*3)</f>
        <v>138.09</v>
      </c>
      <c r="Q13" s="197"/>
    </row>
    <row r="14" spans="1:17" ht="18" customHeight="1" thickBot="1" x14ac:dyDescent="0.3">
      <c r="A14" s="14"/>
      <c r="C14" s="15" t="s">
        <v>10</v>
      </c>
      <c r="D14" s="15" t="s">
        <v>11</v>
      </c>
      <c r="E14" s="16" t="s">
        <v>12</v>
      </c>
      <c r="F14" s="17"/>
      <c r="G14" s="18"/>
      <c r="H14" s="19">
        <v>0.15</v>
      </c>
      <c r="I14" s="19">
        <v>0.15</v>
      </c>
      <c r="J14" s="112"/>
      <c r="K14" s="276"/>
      <c r="L14" s="105"/>
      <c r="M14" s="189">
        <v>4</v>
      </c>
      <c r="N14" s="187">
        <f>SUM(N11*4)</f>
        <v>638.6</v>
      </c>
      <c r="O14" s="187">
        <f>SUM(O11*4)</f>
        <v>454.52</v>
      </c>
      <c r="P14" s="103">
        <f>SUM(P11*4)</f>
        <v>184.12</v>
      </c>
      <c r="Q14" s="197"/>
    </row>
    <row r="15" spans="1:17" x14ac:dyDescent="0.25">
      <c r="A15" s="21"/>
      <c r="B15" s="22"/>
      <c r="C15" s="23"/>
      <c r="D15" s="23"/>
      <c r="E15" s="24"/>
      <c r="F15" s="25"/>
      <c r="G15" s="26"/>
      <c r="H15" s="26"/>
      <c r="I15" s="26"/>
      <c r="J15" s="27"/>
      <c r="K15" s="157"/>
      <c r="L15" s="99"/>
      <c r="M15" s="189">
        <v>5</v>
      </c>
      <c r="N15" s="187">
        <f>SUM(N11*5)</f>
        <v>798.25</v>
      </c>
      <c r="O15" s="187">
        <f>SUM(O11*5)</f>
        <v>568.15</v>
      </c>
      <c r="P15" s="103">
        <f>SUM(P11*5)</f>
        <v>230.15</v>
      </c>
      <c r="Q15" s="197"/>
    </row>
    <row r="16" spans="1:17" x14ac:dyDescent="0.25">
      <c r="A16" s="28">
        <v>2</v>
      </c>
      <c r="B16" s="29">
        <f>SUM(J35)</f>
        <v>4074.4548</v>
      </c>
      <c r="C16" s="30">
        <v>805</v>
      </c>
      <c r="D16" s="31">
        <f>SUM(D35)*30.42</f>
        <v>79.700400000000002</v>
      </c>
      <c r="E16" s="32">
        <f>SUM(B16-C16)</f>
        <v>3269.4548</v>
      </c>
      <c r="F16" s="33">
        <f>SUM(B35+D35)*30.42</f>
        <v>2754.2268000000004</v>
      </c>
      <c r="G16" s="34">
        <f>SUM(F16-C16)</f>
        <v>1949.2268000000004</v>
      </c>
      <c r="H16" s="34">
        <f>SUM(G16*15/100)</f>
        <v>292.38402000000008</v>
      </c>
      <c r="I16" s="34">
        <f>SUM(E16)-H16</f>
        <v>2977.07078</v>
      </c>
      <c r="J16" s="35"/>
      <c r="K16" s="36">
        <f>SUM(I16)</f>
        <v>2977.07078</v>
      </c>
      <c r="L16" s="106"/>
      <c r="M16" s="189">
        <v>6</v>
      </c>
      <c r="N16" s="187">
        <f>SUM(N11*6)</f>
        <v>957.90000000000009</v>
      </c>
      <c r="O16" s="187">
        <f>SUM(O11*6)</f>
        <v>681.78</v>
      </c>
      <c r="P16" s="103">
        <f>SUM(P11*6)</f>
        <v>276.18</v>
      </c>
      <c r="Q16" s="197"/>
    </row>
    <row r="17" spans="1:17" ht="15.75" thickBot="1" x14ac:dyDescent="0.3">
      <c r="A17" s="37"/>
      <c r="B17" s="38"/>
      <c r="C17" s="39"/>
      <c r="D17" s="39"/>
      <c r="E17" s="40"/>
      <c r="F17" s="41"/>
      <c r="G17" s="42"/>
      <c r="H17" s="42"/>
      <c r="I17" s="42"/>
      <c r="J17" s="43"/>
      <c r="K17" s="4"/>
      <c r="L17" s="107"/>
      <c r="M17" s="189">
        <v>7</v>
      </c>
      <c r="N17" s="187">
        <f>SUM(N11*7)</f>
        <v>1117.55</v>
      </c>
      <c r="O17" s="187">
        <f>SUM(O11*7)</f>
        <v>795.41</v>
      </c>
      <c r="P17" s="103">
        <f>SUM(P11*7)</f>
        <v>322.21000000000004</v>
      </c>
      <c r="Q17" s="197"/>
    </row>
    <row r="18" spans="1:17" x14ac:dyDescent="0.25">
      <c r="A18" s="21"/>
      <c r="B18" s="44"/>
      <c r="C18" s="45"/>
      <c r="D18" s="45"/>
      <c r="E18" s="46"/>
      <c r="F18" s="47"/>
      <c r="G18" s="48"/>
      <c r="H18" s="48"/>
      <c r="I18" s="48"/>
      <c r="J18" s="49"/>
      <c r="K18" s="50"/>
      <c r="L18" s="107"/>
      <c r="M18" s="189">
        <v>8</v>
      </c>
      <c r="N18" s="187">
        <f>SUM(N11*8)</f>
        <v>1277.2</v>
      </c>
      <c r="O18" s="187">
        <f>SUM(O11*8)</f>
        <v>909.04</v>
      </c>
      <c r="P18" s="103">
        <f>SUM(P11*8)</f>
        <v>368.24</v>
      </c>
      <c r="Q18" s="197"/>
    </row>
    <row r="19" spans="1:17" x14ac:dyDescent="0.25">
      <c r="A19" s="28">
        <v>3</v>
      </c>
      <c r="B19" s="51">
        <f>SUM(J36)</f>
        <v>4588.5527999999995</v>
      </c>
      <c r="C19" s="30">
        <v>1319</v>
      </c>
      <c r="D19" s="31">
        <f>SUM(D36)*30.42</f>
        <v>79.700400000000002</v>
      </c>
      <c r="E19" s="32">
        <f>SUM(B19-C19)</f>
        <v>3269.5527999999995</v>
      </c>
      <c r="F19" s="33">
        <f>SUM(B36+D36)*30.42</f>
        <v>3268.3248000000003</v>
      </c>
      <c r="G19" s="34">
        <f>SUM(F19-C19)</f>
        <v>1949.3248000000003</v>
      </c>
      <c r="H19" s="34">
        <f>SUM(G19*15/100)</f>
        <v>292.39872000000003</v>
      </c>
      <c r="I19" s="34">
        <f>SUM(E19)-H19</f>
        <v>2977.1540799999993</v>
      </c>
      <c r="J19" s="35"/>
      <c r="K19" s="52">
        <f>SUM(I19)</f>
        <v>2977.1540799999993</v>
      </c>
      <c r="L19" s="106"/>
      <c r="M19" s="189">
        <v>9</v>
      </c>
      <c r="N19" s="187">
        <f>SUM(N11*9)</f>
        <v>1436.8500000000001</v>
      </c>
      <c r="O19" s="187">
        <f>SUM(O11*9)</f>
        <v>1022.67</v>
      </c>
      <c r="P19" s="103">
        <f>SUM(P11*9)</f>
        <v>414.27</v>
      </c>
      <c r="Q19" s="197"/>
    </row>
    <row r="20" spans="1:17" ht="15.75" thickBot="1" x14ac:dyDescent="0.3">
      <c r="A20" s="37"/>
      <c r="B20" s="38"/>
      <c r="C20" s="39"/>
      <c r="D20" s="39"/>
      <c r="E20" s="40"/>
      <c r="F20" s="41"/>
      <c r="G20" s="42"/>
      <c r="H20" s="42"/>
      <c r="I20" s="42"/>
      <c r="J20" s="43"/>
      <c r="K20" s="4"/>
      <c r="L20" s="107"/>
      <c r="M20" s="189">
        <v>10</v>
      </c>
      <c r="N20" s="187">
        <f>SUM(N11*10)</f>
        <v>1596.5</v>
      </c>
      <c r="O20" s="187">
        <f>SUM(O11*10)</f>
        <v>1136.3</v>
      </c>
      <c r="P20" s="103">
        <f>SUM(P11*10)</f>
        <v>460.3</v>
      </c>
      <c r="Q20" s="197"/>
    </row>
    <row r="21" spans="1:17" x14ac:dyDescent="0.25">
      <c r="A21" s="21"/>
      <c r="B21" s="44"/>
      <c r="C21" s="45"/>
      <c r="D21" s="45"/>
      <c r="E21" s="46"/>
      <c r="F21" s="47"/>
      <c r="G21" s="48"/>
      <c r="H21" s="48"/>
      <c r="I21" s="48"/>
      <c r="J21" s="49"/>
      <c r="K21" s="50"/>
      <c r="L21" s="107"/>
      <c r="M21" s="189">
        <v>11</v>
      </c>
      <c r="N21" s="187">
        <f>SUM(N11*11)</f>
        <v>1756.15</v>
      </c>
      <c r="O21" s="187">
        <f>SUM(O11*11)</f>
        <v>1249.9299999999998</v>
      </c>
      <c r="P21" s="103">
        <f>SUM(P11*11)</f>
        <v>506.33000000000004</v>
      </c>
      <c r="Q21" s="197"/>
    </row>
    <row r="22" spans="1:17" x14ac:dyDescent="0.25">
      <c r="A22" s="28">
        <v>4</v>
      </c>
      <c r="B22" s="51">
        <f>SUM(J37)</f>
        <v>5124.5532000000003</v>
      </c>
      <c r="C22" s="30">
        <v>1855</v>
      </c>
      <c r="D22" s="31">
        <f>SUM(D37)*30.42</f>
        <v>79.700400000000002</v>
      </c>
      <c r="E22" s="32">
        <f>SUM(B22-C22)</f>
        <v>3269.5532000000003</v>
      </c>
      <c r="F22" s="33">
        <f>SUM(B37+D37)*30.42</f>
        <v>3804.3252000000002</v>
      </c>
      <c r="G22" s="34">
        <f>SUM(F22-C22)</f>
        <v>1949.3252000000002</v>
      </c>
      <c r="H22" s="34">
        <f>SUM(G22*15/100)</f>
        <v>292.39878000000004</v>
      </c>
      <c r="I22" s="34">
        <f>SUM(E22)-H22</f>
        <v>2977.1544200000003</v>
      </c>
      <c r="J22" s="35"/>
      <c r="K22" s="52">
        <f>SUM(I22)</f>
        <v>2977.1544200000003</v>
      </c>
      <c r="L22" s="106"/>
      <c r="M22" s="189">
        <v>12</v>
      </c>
      <c r="N22" s="187">
        <f>SUM(N11*12)</f>
        <v>1915.8000000000002</v>
      </c>
      <c r="O22" s="187">
        <f>SUM(O11*12)</f>
        <v>1363.56</v>
      </c>
      <c r="P22" s="103">
        <f>SUM(P11*12)</f>
        <v>552.36</v>
      </c>
      <c r="Q22" s="197"/>
    </row>
    <row r="23" spans="1:17" ht="15.75" thickBot="1" x14ac:dyDescent="0.3">
      <c r="A23" s="37"/>
      <c r="B23" s="38"/>
      <c r="C23" s="39"/>
      <c r="D23" s="39"/>
      <c r="E23" s="40"/>
      <c r="F23" s="41"/>
      <c r="G23" s="42"/>
      <c r="H23" s="42"/>
      <c r="I23" s="42"/>
      <c r="J23" s="43"/>
      <c r="K23" s="4"/>
      <c r="L23" s="107"/>
      <c r="M23" s="189">
        <v>13</v>
      </c>
      <c r="N23" s="187">
        <f>SUM(N11*13)</f>
        <v>2075.4500000000003</v>
      </c>
      <c r="O23" s="187">
        <f>SUM(O11*13)</f>
        <v>1477.19</v>
      </c>
      <c r="P23" s="103">
        <f>SUM(P11*13)</f>
        <v>598.39</v>
      </c>
      <c r="Q23" s="197"/>
    </row>
    <row r="24" spans="1:17" x14ac:dyDescent="0.25">
      <c r="A24" s="21"/>
      <c r="B24" s="44"/>
      <c r="C24" s="45"/>
      <c r="D24" s="45"/>
      <c r="E24" s="46"/>
      <c r="F24" s="47"/>
      <c r="G24" s="48"/>
      <c r="H24" s="48"/>
      <c r="I24" s="48"/>
      <c r="J24" s="49"/>
      <c r="K24" s="50"/>
      <c r="L24" s="107"/>
      <c r="M24" s="189">
        <v>14</v>
      </c>
      <c r="N24" s="187">
        <f>SUM(N11*14)</f>
        <v>2235.1</v>
      </c>
      <c r="O24" s="187">
        <f>SUM(O11*14)</f>
        <v>1590.82</v>
      </c>
      <c r="P24" s="103">
        <f>SUM(P11*14)</f>
        <v>644.42000000000007</v>
      </c>
      <c r="Q24" s="197"/>
    </row>
    <row r="25" spans="1:17" x14ac:dyDescent="0.25">
      <c r="A25" s="28">
        <v>5</v>
      </c>
      <c r="B25" s="51">
        <f>SUM(J38)</f>
        <v>5365.4796000000006</v>
      </c>
      <c r="C25" s="30">
        <v>2096</v>
      </c>
      <c r="D25" s="31">
        <f>SUM(D38)*30.42</f>
        <v>79.700400000000002</v>
      </c>
      <c r="E25" s="32">
        <f>SUM(B25-C25)</f>
        <v>3269.4796000000006</v>
      </c>
      <c r="F25" s="33">
        <f>SUM(B38+D38)*30.42</f>
        <v>4045.251600000001</v>
      </c>
      <c r="G25" s="34">
        <f>SUM(F25-C25)</f>
        <v>1949.251600000001</v>
      </c>
      <c r="H25" s="34">
        <f>SUM(G25*15/100)</f>
        <v>292.38774000000018</v>
      </c>
      <c r="I25" s="34">
        <f>SUM(E25)-H25</f>
        <v>2977.0918600000005</v>
      </c>
      <c r="J25" s="35"/>
      <c r="K25" s="52">
        <f>SUM(I25)</f>
        <v>2977.0918600000005</v>
      </c>
      <c r="L25" s="106"/>
      <c r="M25" s="189">
        <v>15</v>
      </c>
      <c r="N25" s="187">
        <f>SUM(N11*15)</f>
        <v>2394.75</v>
      </c>
      <c r="O25" s="187">
        <f>SUM(O11*15)</f>
        <v>1704.4499999999998</v>
      </c>
      <c r="P25" s="103">
        <f>SUM(P11*15)</f>
        <v>690.45</v>
      </c>
      <c r="Q25" s="197"/>
    </row>
    <row r="26" spans="1:17" ht="15.75" thickBot="1" x14ac:dyDescent="0.3">
      <c r="A26" s="28"/>
      <c r="B26" s="198"/>
      <c r="C26" s="120"/>
      <c r="D26" s="120"/>
      <c r="E26" s="24"/>
      <c r="F26" s="25"/>
      <c r="G26" s="26"/>
      <c r="H26" s="26"/>
      <c r="I26" s="26"/>
      <c r="J26" s="27"/>
      <c r="K26" s="57"/>
      <c r="L26" s="107"/>
      <c r="M26" s="189">
        <v>16</v>
      </c>
      <c r="N26" s="231">
        <f>SUM(N11*16)</f>
        <v>2554.4</v>
      </c>
      <c r="O26" s="187">
        <f>SUM(O11*16)</f>
        <v>1818.08</v>
      </c>
      <c r="P26" s="103">
        <f>SUM(P11*16)</f>
        <v>736.48</v>
      </c>
      <c r="Q26" s="197"/>
    </row>
    <row r="27" spans="1:17" x14ac:dyDescent="0.25">
      <c r="A27" s="199"/>
      <c r="B27" s="200"/>
      <c r="C27" s="122"/>
      <c r="D27" s="122"/>
      <c r="E27" s="201"/>
      <c r="F27" s="202"/>
      <c r="G27" s="203"/>
      <c r="H27" s="203"/>
      <c r="I27" s="203"/>
      <c r="J27" s="204"/>
      <c r="K27" s="205"/>
      <c r="L27" s="107"/>
      <c r="M27" s="234">
        <v>17</v>
      </c>
      <c r="N27" s="236">
        <f>SUM(N11*17)</f>
        <v>2714.05</v>
      </c>
      <c r="O27" s="236">
        <v>1854</v>
      </c>
      <c r="P27" s="237">
        <v>860.05</v>
      </c>
      <c r="Q27" s="235"/>
    </row>
    <row r="28" spans="1:17" x14ac:dyDescent="0.25">
      <c r="A28" s="178" t="s">
        <v>13</v>
      </c>
      <c r="B28" s="51"/>
      <c r="C28" s="125">
        <v>1854</v>
      </c>
      <c r="D28" s="31">
        <f>SUM(D39)*16</f>
        <v>41.92</v>
      </c>
      <c r="E28" s="98"/>
      <c r="F28" s="33"/>
      <c r="G28" s="34"/>
      <c r="H28" s="34"/>
      <c r="I28" s="34"/>
      <c r="J28" s="35"/>
      <c r="K28" s="206"/>
      <c r="L28" s="108"/>
      <c r="M28" s="126"/>
      <c r="N28" s="51"/>
      <c r="O28" s="51"/>
      <c r="P28" s="238"/>
    </row>
    <row r="29" spans="1:17" ht="15.75" thickBot="1" x14ac:dyDescent="0.3">
      <c r="A29" s="184" t="s">
        <v>46</v>
      </c>
      <c r="B29" s="185"/>
      <c r="C29" s="195">
        <v>1685</v>
      </c>
      <c r="D29" s="124"/>
      <c r="E29" s="207"/>
      <c r="F29" s="208"/>
      <c r="G29" s="209"/>
      <c r="H29" s="209"/>
      <c r="I29" s="209"/>
      <c r="J29" s="210"/>
      <c r="K29" s="211"/>
      <c r="L29" s="108"/>
      <c r="M29" s="127"/>
      <c r="N29" s="136"/>
      <c r="O29" s="136"/>
      <c r="P29" s="129"/>
    </row>
    <row r="30" spans="1:17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M30" s="127"/>
      <c r="N30" s="136"/>
      <c r="O30" s="136"/>
      <c r="P30" s="129" t="s">
        <v>48</v>
      </c>
    </row>
    <row r="31" spans="1:17" x14ac:dyDescent="0.25">
      <c r="M31" s="127"/>
      <c r="N31" s="136"/>
      <c r="O31" s="136"/>
      <c r="P31" s="129"/>
    </row>
    <row r="32" spans="1:17" x14ac:dyDescent="0.25">
      <c r="A32" s="5" t="s">
        <v>20</v>
      </c>
      <c r="B32" s="71"/>
      <c r="C32" s="71"/>
      <c r="D32" s="71"/>
      <c r="E32" s="72"/>
      <c r="F32" s="73"/>
      <c r="G32" s="12"/>
      <c r="H32" s="12"/>
      <c r="I32" s="12"/>
      <c r="J32" s="12"/>
      <c r="K32" s="12"/>
      <c r="M32" s="127"/>
      <c r="N32" s="136"/>
      <c r="O32" s="136"/>
      <c r="P32" s="129"/>
    </row>
    <row r="33" spans="1:17" x14ac:dyDescent="0.25">
      <c r="A33" s="272" t="s">
        <v>21</v>
      </c>
      <c r="B33" s="272" t="s">
        <v>22</v>
      </c>
      <c r="C33" s="272" t="s">
        <v>23</v>
      </c>
      <c r="D33" s="60" t="s">
        <v>5</v>
      </c>
      <c r="E33" s="273" t="s">
        <v>24</v>
      </c>
      <c r="F33" s="274" t="s">
        <v>25</v>
      </c>
      <c r="G33" s="272" t="s">
        <v>26</v>
      </c>
      <c r="H33" s="272" t="s">
        <v>27</v>
      </c>
      <c r="I33" s="59"/>
      <c r="J33" s="59"/>
      <c r="M33" s="127"/>
      <c r="N33" s="136"/>
      <c r="O33" s="136"/>
      <c r="P33" s="129"/>
    </row>
    <row r="34" spans="1:17" x14ac:dyDescent="0.25">
      <c r="A34" s="272"/>
      <c r="B34" s="272"/>
      <c r="C34" s="272"/>
      <c r="D34" s="60" t="s">
        <v>43</v>
      </c>
      <c r="E34" s="273"/>
      <c r="F34" s="274"/>
      <c r="G34" s="272"/>
      <c r="H34" s="272"/>
      <c r="I34" s="59"/>
      <c r="J34" s="59"/>
      <c r="M34" s="127"/>
      <c r="N34" s="136"/>
      <c r="O34" s="136"/>
      <c r="P34" s="129"/>
    </row>
    <row r="35" spans="1:17" x14ac:dyDescent="0.25">
      <c r="A35" s="61">
        <v>2</v>
      </c>
      <c r="B35" s="62">
        <v>87.92</v>
      </c>
      <c r="C35" s="63">
        <v>16.77</v>
      </c>
      <c r="D35" s="63">
        <v>2.62</v>
      </c>
      <c r="E35" s="64">
        <v>11.18</v>
      </c>
      <c r="F35" s="65">
        <v>15.45</v>
      </c>
      <c r="G35" s="65">
        <v>0</v>
      </c>
      <c r="H35" s="63">
        <v>0</v>
      </c>
      <c r="I35" s="67">
        <f>SUM(B35:F35)</f>
        <v>133.94</v>
      </c>
      <c r="J35" s="67">
        <f>SUM(I35)*30.42</f>
        <v>4074.4548</v>
      </c>
      <c r="K35" s="101"/>
      <c r="L35" s="13"/>
      <c r="M35" s="127"/>
      <c r="N35" s="136"/>
      <c r="O35" s="136"/>
      <c r="P35" s="129"/>
    </row>
    <row r="36" spans="1:17" x14ac:dyDescent="0.25">
      <c r="A36" s="68">
        <v>3</v>
      </c>
      <c r="B36" s="69">
        <v>104.82</v>
      </c>
      <c r="C36" s="63">
        <v>16.77</v>
      </c>
      <c r="D36" s="63">
        <v>2.62</v>
      </c>
      <c r="E36" s="64">
        <v>11.18</v>
      </c>
      <c r="F36" s="65">
        <v>15.45</v>
      </c>
      <c r="G36" s="65">
        <v>0</v>
      </c>
      <c r="H36" s="63">
        <v>0</v>
      </c>
      <c r="I36" s="67">
        <f>SUM(B36:F36)</f>
        <v>150.83999999999997</v>
      </c>
      <c r="J36" s="67">
        <f>SUM(I36)*30.42</f>
        <v>4588.5527999999995</v>
      </c>
      <c r="K36" s="13"/>
      <c r="L36" s="13"/>
      <c r="M36" s="127"/>
      <c r="N36" s="136"/>
      <c r="O36" s="136"/>
      <c r="P36" s="129"/>
    </row>
    <row r="37" spans="1:17" x14ac:dyDescent="0.25">
      <c r="A37" s="68">
        <v>4</v>
      </c>
      <c r="B37" s="69">
        <v>122.44</v>
      </c>
      <c r="C37" s="63">
        <v>16.77</v>
      </c>
      <c r="D37" s="63">
        <v>2.62</v>
      </c>
      <c r="E37" s="64">
        <v>11.18</v>
      </c>
      <c r="F37" s="65">
        <v>15.45</v>
      </c>
      <c r="G37" s="65">
        <v>0</v>
      </c>
      <c r="H37" s="63">
        <v>0</v>
      </c>
      <c r="I37" s="67">
        <f>SUM(B37:F37)</f>
        <v>168.46</v>
      </c>
      <c r="J37" s="67">
        <f>SUM(I37)*30.42</f>
        <v>5124.5532000000003</v>
      </c>
      <c r="K37" s="13"/>
      <c r="L37" s="13"/>
      <c r="M37" s="127"/>
      <c r="N37" s="136"/>
      <c r="O37" s="136"/>
      <c r="P37" s="129"/>
    </row>
    <row r="38" spans="1:17" x14ac:dyDescent="0.25">
      <c r="A38" s="68">
        <v>5</v>
      </c>
      <c r="B38" s="69">
        <v>130.36000000000001</v>
      </c>
      <c r="C38" s="63">
        <v>16.77</v>
      </c>
      <c r="D38" s="63">
        <v>2.62</v>
      </c>
      <c r="E38" s="64">
        <v>11.18</v>
      </c>
      <c r="F38" s="65">
        <v>15.45</v>
      </c>
      <c r="G38" s="65">
        <v>0</v>
      </c>
      <c r="H38" s="63">
        <v>0</v>
      </c>
      <c r="I38" s="67">
        <f>SUM(B38:F38)</f>
        <v>176.38000000000002</v>
      </c>
      <c r="J38" s="67">
        <f>SUM(I38)*30.42</f>
        <v>5365.4796000000006</v>
      </c>
      <c r="K38" s="13"/>
      <c r="L38" s="13"/>
      <c r="M38" s="127"/>
      <c r="N38" s="136"/>
      <c r="O38" s="136"/>
      <c r="P38" s="129"/>
    </row>
    <row r="39" spans="1:17" x14ac:dyDescent="0.25">
      <c r="A39" s="70" t="s">
        <v>13</v>
      </c>
      <c r="B39" s="69">
        <v>113.63</v>
      </c>
      <c r="C39" s="63">
        <v>16.77</v>
      </c>
      <c r="D39" s="63">
        <v>2.62</v>
      </c>
      <c r="E39" s="64">
        <v>11.18</v>
      </c>
      <c r="F39" s="65">
        <v>15.45</v>
      </c>
      <c r="G39" s="65">
        <v>0</v>
      </c>
      <c r="H39" s="63">
        <v>0</v>
      </c>
      <c r="I39" s="67">
        <f>SUM(B39:F39)</f>
        <v>159.65</v>
      </c>
      <c r="J39" s="67">
        <f>SUM(I39)*19</f>
        <v>3033.35</v>
      </c>
      <c r="K39" s="13"/>
      <c r="L39" s="13"/>
      <c r="M39" s="127"/>
      <c r="N39" s="136"/>
      <c r="O39" s="136"/>
      <c r="P39" s="129"/>
    </row>
    <row r="40" spans="1:17" x14ac:dyDescent="0.25">
      <c r="A40" s="7"/>
      <c r="B40" s="8"/>
      <c r="C40" s="9"/>
      <c r="D40" s="9"/>
      <c r="E40" s="10"/>
      <c r="F40" s="10"/>
      <c r="G40" s="10"/>
      <c r="H40" s="10"/>
      <c r="I40" s="10"/>
      <c r="J40" s="10"/>
      <c r="K40" s="6"/>
      <c r="L40" s="6"/>
      <c r="M40" s="127"/>
      <c r="N40" s="136"/>
      <c r="O40" s="136"/>
      <c r="P40" s="129"/>
    </row>
    <row r="41" spans="1:17" x14ac:dyDescent="0.25">
      <c r="A41" s="11" t="s">
        <v>29</v>
      </c>
      <c r="B41" s="12" t="s">
        <v>49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1" t="s">
        <v>29</v>
      </c>
      <c r="B42" s="12" t="s">
        <v>30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1" t="s">
        <v>29</v>
      </c>
      <c r="B43" s="12" t="s">
        <v>44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1" t="s">
        <v>29</v>
      </c>
      <c r="B44" s="12" t="s">
        <v>45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7" ht="15.75" x14ac:dyDescent="0.25">
      <c r="B46" s="3"/>
    </row>
  </sheetData>
  <mergeCells count="8">
    <mergeCell ref="K13:K14"/>
    <mergeCell ref="H33:H34"/>
    <mergeCell ref="A33:A34"/>
    <mergeCell ref="B33:B34"/>
    <mergeCell ref="C33:C34"/>
    <mergeCell ref="E33:E34"/>
    <mergeCell ref="F33:F34"/>
    <mergeCell ref="G33:G34"/>
  </mergeCells>
  <pageMargins left="1.0416666666666666E-2" right="0.7" top="0.78740157499999996" bottom="0.78740157499999996" header="0.3" footer="0.3"/>
  <pageSetup paperSize="9" orientation="portrait" r:id="rId1"/>
  <headerFooter>
    <oddFooter xml:space="preserve">&amp;LStand: 01.01.2024&amp;RFreigabe: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D11D-74EB-47A0-B219-A7AB4FA07059}">
  <dimension ref="A6:Q46"/>
  <sheetViews>
    <sheetView view="pageLayout" topLeftCell="A2" zoomScaleNormal="100" workbookViewId="0">
      <selection activeCell="N31" sqref="N31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9.85546875" customWidth="1"/>
    <col min="4" max="4" width="10.85546875" customWidth="1"/>
    <col min="5" max="5" width="10.140625" hidden="1" customWidth="1"/>
    <col min="6" max="6" width="0.140625" hidden="1" customWidth="1"/>
    <col min="7" max="8" width="11.28515625" hidden="1" customWidth="1"/>
    <col min="9" max="9" width="6.85546875" hidden="1" customWidth="1"/>
    <col min="10" max="10" width="7.5703125" hidden="1" customWidth="1"/>
    <col min="11" max="11" width="11.140625" customWidth="1"/>
    <col min="12" max="12" width="1.7109375" customWidth="1"/>
    <col min="13" max="13" width="3.7109375" customWidth="1"/>
    <col min="14" max="14" width="10.42578125" customWidth="1"/>
    <col min="15" max="15" width="10.5703125" customWidth="1"/>
    <col min="17" max="17" width="0.140625" customWidth="1"/>
  </cols>
  <sheetData>
    <row r="6" spans="1:17" ht="18.75" x14ac:dyDescent="0.3">
      <c r="B6" s="96" t="s">
        <v>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7" ht="18.75" customHeight="1" x14ac:dyDescent="0.25"/>
    <row r="8" spans="1:17" ht="18" customHeight="1" thickBot="1" x14ac:dyDescent="0.3">
      <c r="A8" t="s">
        <v>31</v>
      </c>
      <c r="M8" t="s">
        <v>32</v>
      </c>
    </row>
    <row r="9" spans="1:17" ht="27" customHeight="1" x14ac:dyDescent="0.25">
      <c r="A9" s="170"/>
      <c r="B9" s="171" t="s">
        <v>0</v>
      </c>
      <c r="C9" s="171"/>
      <c r="D9" s="171"/>
      <c r="E9" s="172"/>
      <c r="K9" s="87"/>
      <c r="L9" s="58"/>
      <c r="M9" s="75"/>
      <c r="N9" s="76" t="s">
        <v>50</v>
      </c>
      <c r="O9" s="76" t="s">
        <v>17</v>
      </c>
      <c r="P9" s="77" t="s">
        <v>39</v>
      </c>
      <c r="Q9" s="142" t="s">
        <v>40</v>
      </c>
    </row>
    <row r="10" spans="1:17" ht="15.75" thickBot="1" x14ac:dyDescent="0.3">
      <c r="A10" s="173"/>
      <c r="B10" s="58"/>
      <c r="C10" s="79" t="s">
        <v>1</v>
      </c>
      <c r="D10" s="79"/>
      <c r="E10" s="100"/>
      <c r="F10" s="81"/>
      <c r="G10" s="81"/>
      <c r="H10" s="81"/>
      <c r="I10" s="81"/>
      <c r="J10" s="81"/>
      <c r="K10" s="16"/>
      <c r="L10" s="58"/>
      <c r="M10" s="82"/>
      <c r="N10" s="83"/>
      <c r="O10" s="83" t="s">
        <v>19</v>
      </c>
      <c r="P10" s="84"/>
      <c r="Q10" s="152"/>
    </row>
    <row r="11" spans="1:17" ht="15.75" thickBot="1" x14ac:dyDescent="0.3">
      <c r="A11" s="194" t="s">
        <v>2</v>
      </c>
      <c r="B11" s="58" t="s">
        <v>3</v>
      </c>
      <c r="C11" s="86" t="s">
        <v>4</v>
      </c>
      <c r="D11" s="86" t="s">
        <v>5</v>
      </c>
      <c r="E11" s="87" t="s">
        <v>6</v>
      </c>
      <c r="F11" s="88"/>
      <c r="G11" s="89"/>
      <c r="H11" s="89"/>
      <c r="I11" s="89"/>
      <c r="J11" s="228"/>
      <c r="K11" s="229"/>
      <c r="L11" s="58"/>
      <c r="M11" s="193">
        <v>1</v>
      </c>
      <c r="N11" s="249">
        <v>159.65</v>
      </c>
      <c r="O11" s="249">
        <v>113.63</v>
      </c>
      <c r="P11" s="230">
        <v>46.02</v>
      </c>
      <c r="Q11" s="188"/>
    </row>
    <row r="12" spans="1:17" x14ac:dyDescent="0.25">
      <c r="A12" s="194" t="s">
        <v>7</v>
      </c>
      <c r="B12" s="58"/>
      <c r="C12" s="92" t="s">
        <v>2</v>
      </c>
      <c r="D12" s="92" t="s">
        <v>8</v>
      </c>
      <c r="E12" s="93" t="s">
        <v>9</v>
      </c>
      <c r="F12" s="94"/>
      <c r="G12" s="95"/>
      <c r="H12" s="95"/>
      <c r="I12" s="95"/>
      <c r="J12" s="156"/>
      <c r="K12" s="275" t="s">
        <v>35</v>
      </c>
      <c r="L12" s="58"/>
      <c r="M12" s="189">
        <v>2</v>
      </c>
      <c r="N12" s="187">
        <f>SUM(N11*2)</f>
        <v>319.3</v>
      </c>
      <c r="O12" s="187">
        <f>SUM(O11*2)</f>
        <v>227.26</v>
      </c>
      <c r="P12" s="103">
        <f>SUM(P11*2)</f>
        <v>92.04</v>
      </c>
      <c r="Q12" s="153"/>
    </row>
    <row r="13" spans="1:17" ht="16.5" customHeight="1" thickBot="1" x14ac:dyDescent="0.3">
      <c r="A13" s="175"/>
      <c r="C13" s="15" t="s">
        <v>10</v>
      </c>
      <c r="D13" s="15" t="s">
        <v>11</v>
      </c>
      <c r="E13" s="16" t="s">
        <v>12</v>
      </c>
      <c r="F13" s="17"/>
      <c r="G13" s="18"/>
      <c r="H13" s="19">
        <v>0.3</v>
      </c>
      <c r="I13" s="19">
        <v>0.3</v>
      </c>
      <c r="J13" s="112"/>
      <c r="K13" s="276"/>
      <c r="L13" s="105"/>
      <c r="M13" s="189">
        <v>3</v>
      </c>
      <c r="N13" s="187">
        <f>SUM(N11*3)</f>
        <v>478.95000000000005</v>
      </c>
      <c r="O13" s="187">
        <f>SUM(O11*3)</f>
        <v>340.89</v>
      </c>
      <c r="P13" s="103">
        <f>SUM(P11*3)</f>
        <v>138.06</v>
      </c>
      <c r="Q13" s="153"/>
    </row>
    <row r="14" spans="1:17" x14ac:dyDescent="0.25">
      <c r="A14" s="176"/>
      <c r="B14" s="22"/>
      <c r="C14" s="23"/>
      <c r="D14" s="23"/>
      <c r="E14" s="177"/>
      <c r="F14" s="26"/>
      <c r="G14" s="26"/>
      <c r="H14" s="26"/>
      <c r="I14" s="26"/>
      <c r="J14" s="27"/>
      <c r="K14" s="157"/>
      <c r="L14" s="99"/>
      <c r="M14" s="189">
        <v>4</v>
      </c>
      <c r="N14" s="187">
        <f>SUM(N11*4)</f>
        <v>638.6</v>
      </c>
      <c r="O14" s="187">
        <f>SUM(O11*4)</f>
        <v>454.52</v>
      </c>
      <c r="P14" s="103">
        <f>SUM(P11*4)</f>
        <v>184.08</v>
      </c>
      <c r="Q14" s="153"/>
    </row>
    <row r="15" spans="1:17" x14ac:dyDescent="0.25">
      <c r="A15" s="178">
        <v>2</v>
      </c>
      <c r="B15" s="29">
        <v>4074.45</v>
      </c>
      <c r="C15" s="30">
        <v>805</v>
      </c>
      <c r="D15" s="31">
        <f>SUM(D34)*30.42</f>
        <v>79.700400000000002</v>
      </c>
      <c r="E15" s="179">
        <f>SUM(B15-C15)</f>
        <v>3269.45</v>
      </c>
      <c r="F15" s="34">
        <f>SUM(B34+D34)*30.42</f>
        <v>2754.2268000000004</v>
      </c>
      <c r="G15" s="34">
        <f>SUM(F15-C15)</f>
        <v>1949.2268000000004</v>
      </c>
      <c r="H15" s="34">
        <f>SUM(G15*30/100)</f>
        <v>584.76804000000016</v>
      </c>
      <c r="I15" s="34">
        <f>SUM(E15-H15)</f>
        <v>2684.6819599999999</v>
      </c>
      <c r="J15" s="35"/>
      <c r="K15" s="36">
        <f>SUM(E15-H15)</f>
        <v>2684.6819599999999</v>
      </c>
      <c r="L15" s="106"/>
      <c r="M15" s="189">
        <v>5</v>
      </c>
      <c r="N15" s="187">
        <f>SUM(N11*5)</f>
        <v>798.25</v>
      </c>
      <c r="O15" s="187">
        <f>SUM(O11*5)</f>
        <v>568.15</v>
      </c>
      <c r="P15" s="103">
        <f>SUM(P11*5)</f>
        <v>230.10000000000002</v>
      </c>
      <c r="Q15" s="153"/>
    </row>
    <row r="16" spans="1:17" ht="15.75" thickBot="1" x14ac:dyDescent="0.3">
      <c r="A16" s="180"/>
      <c r="B16" s="38"/>
      <c r="C16" s="39"/>
      <c r="D16" s="39"/>
      <c r="E16" s="181"/>
      <c r="F16" s="42"/>
      <c r="G16" s="42"/>
      <c r="H16" s="42"/>
      <c r="I16" s="42"/>
      <c r="J16" s="43"/>
      <c r="K16" s="4"/>
      <c r="L16" s="107"/>
      <c r="M16" s="189">
        <v>6</v>
      </c>
      <c r="N16" s="187">
        <f>SUM(N11*6)</f>
        <v>957.90000000000009</v>
      </c>
      <c r="O16" s="187">
        <f>SUM(O11*6)</f>
        <v>681.78</v>
      </c>
      <c r="P16" s="103">
        <f>SUM(P11*6)</f>
        <v>276.12</v>
      </c>
      <c r="Q16" s="153"/>
    </row>
    <row r="17" spans="1:17" x14ac:dyDescent="0.25">
      <c r="A17" s="176"/>
      <c r="B17" s="44"/>
      <c r="C17" s="45"/>
      <c r="D17" s="45"/>
      <c r="E17" s="182"/>
      <c r="F17" s="48"/>
      <c r="G17" s="48"/>
      <c r="H17" s="48"/>
      <c r="I17" s="48"/>
      <c r="J17" s="49"/>
      <c r="K17" s="50"/>
      <c r="L17" s="107"/>
      <c r="M17" s="189">
        <v>7</v>
      </c>
      <c r="N17" s="187">
        <f>SUM(N11*7)</f>
        <v>1117.55</v>
      </c>
      <c r="O17" s="187">
        <f>SUM(O11*7)</f>
        <v>795.41</v>
      </c>
      <c r="P17" s="103">
        <f>SUM(P11*7)</f>
        <v>322.14000000000004</v>
      </c>
      <c r="Q17" s="153"/>
    </row>
    <row r="18" spans="1:17" x14ac:dyDescent="0.25">
      <c r="A18" s="178">
        <v>3</v>
      </c>
      <c r="B18" s="51">
        <v>4588.55</v>
      </c>
      <c r="C18" s="30">
        <v>1319</v>
      </c>
      <c r="D18" s="31">
        <f>SUM(D35)*30.42</f>
        <v>79.700400000000002</v>
      </c>
      <c r="E18" s="179">
        <f>SUM(B18-C18)</f>
        <v>3269.55</v>
      </c>
      <c r="F18" s="34">
        <f>SUM(B35+D35)*30.42</f>
        <v>3268.3248000000003</v>
      </c>
      <c r="G18" s="34">
        <f>SUM(F18-C18)</f>
        <v>1949.3248000000003</v>
      </c>
      <c r="H18" s="34">
        <f>SUM(G18*30/100)</f>
        <v>584.79744000000005</v>
      </c>
      <c r="I18" s="34">
        <f>SUM(E18-H18)</f>
        <v>2684.7525599999999</v>
      </c>
      <c r="J18" s="35"/>
      <c r="K18" s="52">
        <f>SUM(E18-H18)</f>
        <v>2684.7525599999999</v>
      </c>
      <c r="L18" s="106"/>
      <c r="M18" s="189">
        <v>8</v>
      </c>
      <c r="N18" s="187">
        <f>SUM(N11*8)</f>
        <v>1277.2</v>
      </c>
      <c r="O18" s="187">
        <f>SUM(O11*8)</f>
        <v>909.04</v>
      </c>
      <c r="P18" s="103">
        <f>SUM(P11*8)</f>
        <v>368.16</v>
      </c>
      <c r="Q18" s="153"/>
    </row>
    <row r="19" spans="1:17" ht="15.75" thickBot="1" x14ac:dyDescent="0.3">
      <c r="A19" s="180"/>
      <c r="B19" s="38"/>
      <c r="C19" s="39"/>
      <c r="D19" s="39"/>
      <c r="E19" s="181"/>
      <c r="F19" s="42"/>
      <c r="G19" s="42"/>
      <c r="H19" s="42"/>
      <c r="I19" s="42"/>
      <c r="J19" s="43"/>
      <c r="K19" s="4"/>
      <c r="L19" s="107"/>
      <c r="M19" s="189">
        <v>9</v>
      </c>
      <c r="N19" s="187">
        <f>SUM(N11*9)</f>
        <v>1436.8500000000001</v>
      </c>
      <c r="O19" s="187">
        <f>SUM(O11*9)</f>
        <v>1022.67</v>
      </c>
      <c r="P19" s="103">
        <f>SUM(P11*9)</f>
        <v>414.18</v>
      </c>
      <c r="Q19" s="153"/>
    </row>
    <row r="20" spans="1:17" x14ac:dyDescent="0.25">
      <c r="A20" s="176"/>
      <c r="B20" s="44"/>
      <c r="C20" s="45"/>
      <c r="D20" s="45"/>
      <c r="E20" s="182"/>
      <c r="F20" s="48"/>
      <c r="G20" s="48"/>
      <c r="H20" s="48"/>
      <c r="I20" s="48"/>
      <c r="J20" s="49"/>
      <c r="K20" s="50"/>
      <c r="L20" s="107"/>
      <c r="M20" s="189">
        <v>10</v>
      </c>
      <c r="N20" s="187">
        <f>SUM(N11*10)</f>
        <v>1596.5</v>
      </c>
      <c r="O20" s="187">
        <f>SUM(O11*10)</f>
        <v>1136.3</v>
      </c>
      <c r="P20" s="103">
        <f>SUM(P11*10)</f>
        <v>460.20000000000005</v>
      </c>
      <c r="Q20" s="153"/>
    </row>
    <row r="21" spans="1:17" x14ac:dyDescent="0.25">
      <c r="A21" s="178">
        <v>4</v>
      </c>
      <c r="B21" s="51">
        <v>5124.55</v>
      </c>
      <c r="C21" s="30">
        <v>1855</v>
      </c>
      <c r="D21" s="31">
        <f>SUM(D36)*30.42</f>
        <v>79.700400000000002</v>
      </c>
      <c r="E21" s="179">
        <f>SUM(B21-C21)</f>
        <v>3269.55</v>
      </c>
      <c r="F21" s="34">
        <f>SUM(B36+D36)*30.42</f>
        <v>3804.3252000000002</v>
      </c>
      <c r="G21" s="34">
        <f>SUM(F21-C21)</f>
        <v>1949.3252000000002</v>
      </c>
      <c r="H21" s="34">
        <f>SUM(G21*30/100)</f>
        <v>584.79756000000009</v>
      </c>
      <c r="I21" s="34">
        <f>SUM(E21-H21)</f>
        <v>2684.7524400000002</v>
      </c>
      <c r="J21" s="35"/>
      <c r="K21" s="52">
        <f>SUM(E21-H21)</f>
        <v>2684.7524400000002</v>
      </c>
      <c r="L21" s="106"/>
      <c r="M21" s="189">
        <v>11</v>
      </c>
      <c r="N21" s="187">
        <f>SUM(N11*11)</f>
        <v>1756.15</v>
      </c>
      <c r="O21" s="187">
        <f>SUM(O11*11)</f>
        <v>1249.9299999999998</v>
      </c>
      <c r="P21" s="103">
        <f>SUM(P11*11)</f>
        <v>506.22</v>
      </c>
      <c r="Q21" s="153"/>
    </row>
    <row r="22" spans="1:17" ht="15.75" thickBot="1" x14ac:dyDescent="0.3">
      <c r="A22" s="180"/>
      <c r="B22" s="38"/>
      <c r="C22" s="39"/>
      <c r="D22" s="39"/>
      <c r="E22" s="181"/>
      <c r="F22" s="42"/>
      <c r="G22" s="42"/>
      <c r="H22" s="42"/>
      <c r="I22" s="42"/>
      <c r="J22" s="43"/>
      <c r="K22" s="4"/>
      <c r="L22" s="107"/>
      <c r="M22" s="189">
        <v>12</v>
      </c>
      <c r="N22" s="187">
        <f>SUM(N11*12)</f>
        <v>1915.8000000000002</v>
      </c>
      <c r="O22" s="187">
        <f>SUM(O11*12)</f>
        <v>1363.56</v>
      </c>
      <c r="P22" s="103">
        <f>SUM(P11*12)</f>
        <v>552.24</v>
      </c>
      <c r="Q22" s="153"/>
    </row>
    <row r="23" spans="1:17" x14ac:dyDescent="0.25">
      <c r="A23" s="176"/>
      <c r="B23" s="44"/>
      <c r="C23" s="45"/>
      <c r="D23" s="45"/>
      <c r="E23" s="182"/>
      <c r="F23" s="48"/>
      <c r="G23" s="48"/>
      <c r="H23" s="48"/>
      <c r="I23" s="48"/>
      <c r="J23" s="49"/>
      <c r="K23" s="50"/>
      <c r="L23" s="107"/>
      <c r="M23" s="189">
        <v>13</v>
      </c>
      <c r="N23" s="187">
        <f>SUM(N11*13)</f>
        <v>2075.4500000000003</v>
      </c>
      <c r="O23" s="187">
        <f>SUM(O11*13)</f>
        <v>1477.19</v>
      </c>
      <c r="P23" s="103">
        <f>SUM(P11*13)</f>
        <v>598.26</v>
      </c>
      <c r="Q23" s="153"/>
    </row>
    <row r="24" spans="1:17" x14ac:dyDescent="0.25">
      <c r="A24" s="178">
        <v>5</v>
      </c>
      <c r="B24" s="51">
        <v>5365.48</v>
      </c>
      <c r="C24" s="30">
        <v>2096</v>
      </c>
      <c r="D24" s="31">
        <f>SUM(D37)*30.42</f>
        <v>79.700400000000002</v>
      </c>
      <c r="E24" s="179">
        <f>SUM(B24-C24)</f>
        <v>3269.4799999999996</v>
      </c>
      <c r="F24" s="34">
        <f>SUM(B37+D37)*30.42</f>
        <v>4045.251600000001</v>
      </c>
      <c r="G24" s="34">
        <f>SUM(F24-C24)</f>
        <v>1949.251600000001</v>
      </c>
      <c r="H24" s="34">
        <f>SUM(G24*30/100)</f>
        <v>584.77548000000036</v>
      </c>
      <c r="I24" s="34">
        <f>SUM(E24-H24)</f>
        <v>2684.7045199999993</v>
      </c>
      <c r="J24" s="35"/>
      <c r="K24" s="52">
        <f>SUM(E24-H24)</f>
        <v>2684.7045199999993</v>
      </c>
      <c r="L24" s="106"/>
      <c r="M24" s="189">
        <v>14</v>
      </c>
      <c r="N24" s="187">
        <f>SUM(N11*14)</f>
        <v>2235.1</v>
      </c>
      <c r="O24" s="187">
        <f>SUM(O11*14)</f>
        <v>1590.82</v>
      </c>
      <c r="P24" s="103">
        <f>SUM(P11*14)</f>
        <v>644.28000000000009</v>
      </c>
      <c r="Q24" s="153"/>
    </row>
    <row r="25" spans="1:17" ht="15.75" thickBot="1" x14ac:dyDescent="0.3">
      <c r="A25" s="180"/>
      <c r="B25" s="53"/>
      <c r="C25" s="54"/>
      <c r="D25" s="54"/>
      <c r="E25" s="183"/>
      <c r="F25" s="55"/>
      <c r="G25" s="55"/>
      <c r="H25" s="55"/>
      <c r="I25" s="55"/>
      <c r="J25" s="56"/>
      <c r="K25" s="4"/>
      <c r="L25" s="108"/>
      <c r="M25" s="189">
        <v>15</v>
      </c>
      <c r="N25" s="187">
        <f>SUM(N11*15)</f>
        <v>2394.75</v>
      </c>
      <c r="O25" s="187">
        <f>SUM(O11*15)</f>
        <v>1704.4499999999998</v>
      </c>
      <c r="P25" s="103">
        <f>SUM(P11*15)</f>
        <v>690.30000000000007</v>
      </c>
      <c r="Q25" s="153"/>
    </row>
    <row r="26" spans="1:17" x14ac:dyDescent="0.25">
      <c r="A26" s="176"/>
      <c r="B26" s="44"/>
      <c r="C26" s="45"/>
      <c r="D26" s="45"/>
      <c r="E26" s="182"/>
      <c r="F26" s="48"/>
      <c r="G26" s="48"/>
      <c r="H26" s="48"/>
      <c r="I26" s="48"/>
      <c r="J26" s="49"/>
      <c r="K26" s="50"/>
      <c r="L26" s="108"/>
      <c r="M26" s="189">
        <v>16</v>
      </c>
      <c r="N26" s="187">
        <f>SUM(N11*16)</f>
        <v>2554.4</v>
      </c>
      <c r="O26" s="187">
        <f>SUM(O11*16)</f>
        <v>1818.08</v>
      </c>
      <c r="P26" s="103">
        <f>SUM(P11*16)</f>
        <v>736.32</v>
      </c>
      <c r="Q26" s="153"/>
    </row>
    <row r="27" spans="1:17" ht="15.75" thickBot="1" x14ac:dyDescent="0.3">
      <c r="A27" s="178" t="s">
        <v>13</v>
      </c>
      <c r="B27" s="51"/>
      <c r="C27" s="125">
        <v>1854</v>
      </c>
      <c r="D27" s="31">
        <f>SUM(H38)*16</f>
        <v>0</v>
      </c>
      <c r="E27" s="179"/>
      <c r="F27" s="34" t="e">
        <f>SUM(B27-#REF!)</f>
        <v>#REF!</v>
      </c>
      <c r="G27" s="34"/>
      <c r="H27" s="34"/>
      <c r="I27" s="34"/>
      <c r="J27" s="35"/>
      <c r="K27" s="57"/>
      <c r="L27" s="108"/>
      <c r="M27" s="190">
        <v>17</v>
      </c>
      <c r="N27" s="191">
        <f>SUM(N11*17)</f>
        <v>2714.05</v>
      </c>
      <c r="O27" s="191">
        <v>1854</v>
      </c>
      <c r="P27" s="150">
        <v>860.05</v>
      </c>
      <c r="Q27" s="154"/>
    </row>
    <row r="28" spans="1:17" ht="15.75" thickBot="1" x14ac:dyDescent="0.3">
      <c r="A28" s="184" t="s">
        <v>46</v>
      </c>
      <c r="B28" s="185"/>
      <c r="C28" s="195">
        <v>1685</v>
      </c>
      <c r="D28" s="124"/>
      <c r="E28" s="186"/>
      <c r="F28" s="55"/>
      <c r="G28" s="55"/>
      <c r="H28" s="55"/>
      <c r="I28" s="55"/>
      <c r="J28" s="56"/>
      <c r="K28" s="4"/>
      <c r="L28" s="108"/>
      <c r="M28" s="127"/>
      <c r="N28" s="136"/>
      <c r="O28" s="136"/>
      <c r="P28" s="129"/>
      <c r="Q28" s="99"/>
    </row>
    <row r="29" spans="1:17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M29" s="127"/>
      <c r="N29" s="136"/>
      <c r="O29" s="136"/>
      <c r="P29" s="129" t="s">
        <v>48</v>
      </c>
      <c r="Q29" s="99"/>
    </row>
    <row r="30" spans="1:17" x14ac:dyDescent="0.25">
      <c r="M30" s="127"/>
      <c r="N30" s="136"/>
      <c r="O30" s="136"/>
      <c r="P30" s="129"/>
      <c r="Q30" s="99"/>
    </row>
    <row r="31" spans="1:17" x14ac:dyDescent="0.25">
      <c r="A31" s="5" t="s">
        <v>20</v>
      </c>
      <c r="B31" s="71"/>
      <c r="C31" s="71"/>
      <c r="D31" s="71"/>
      <c r="F31" s="73"/>
      <c r="G31" s="12"/>
      <c r="H31" s="12"/>
      <c r="I31" s="12"/>
      <c r="J31" s="12"/>
      <c r="K31" s="72"/>
      <c r="M31" s="127"/>
      <c r="N31" s="136"/>
      <c r="O31" s="136"/>
      <c r="P31" s="129"/>
      <c r="Q31" s="99"/>
    </row>
    <row r="32" spans="1:17" x14ac:dyDescent="0.25">
      <c r="A32" s="272" t="s">
        <v>21</v>
      </c>
      <c r="B32" s="272" t="s">
        <v>22</v>
      </c>
      <c r="C32" s="272" t="s">
        <v>23</v>
      </c>
      <c r="D32" s="60" t="s">
        <v>5</v>
      </c>
      <c r="F32" s="274" t="s">
        <v>25</v>
      </c>
      <c r="G32" s="272"/>
      <c r="H32" s="272" t="s">
        <v>27</v>
      </c>
      <c r="I32" s="59"/>
      <c r="J32" s="59"/>
      <c r="K32" s="277" t="s">
        <v>24</v>
      </c>
      <c r="M32" s="127"/>
      <c r="N32" s="136"/>
      <c r="O32" s="136"/>
      <c r="P32" s="129"/>
      <c r="Q32" s="99"/>
    </row>
    <row r="33" spans="1:17" x14ac:dyDescent="0.25">
      <c r="A33" s="272"/>
      <c r="B33" s="272"/>
      <c r="C33" s="272"/>
      <c r="D33" s="60" t="s">
        <v>28</v>
      </c>
      <c r="F33" s="274"/>
      <c r="G33" s="272"/>
      <c r="H33" s="272"/>
      <c r="I33" s="59"/>
      <c r="J33" s="59"/>
      <c r="K33" s="277"/>
      <c r="M33" s="127"/>
      <c r="N33" s="136"/>
      <c r="O33" s="136"/>
      <c r="P33" s="141"/>
      <c r="Q33" s="99"/>
    </row>
    <row r="34" spans="1:17" x14ac:dyDescent="0.25">
      <c r="A34" s="61">
        <v>2</v>
      </c>
      <c r="B34" s="62">
        <v>87.92</v>
      </c>
      <c r="C34" s="63">
        <v>16.77</v>
      </c>
      <c r="D34" s="63">
        <v>2.62</v>
      </c>
      <c r="F34" s="65">
        <v>15.45</v>
      </c>
      <c r="G34" s="65"/>
      <c r="H34" s="63"/>
      <c r="I34" s="67">
        <f>SUM(B34:F34)</f>
        <v>122.76</v>
      </c>
      <c r="J34" s="67">
        <f>SUM(I34)*30.42</f>
        <v>3734.3592000000003</v>
      </c>
      <c r="K34" s="64">
        <v>11.18</v>
      </c>
      <c r="L34" s="13"/>
      <c r="M34" s="127"/>
      <c r="N34" s="136"/>
      <c r="O34" s="136"/>
      <c r="P34" s="129"/>
      <c r="Q34" s="99"/>
    </row>
    <row r="35" spans="1:17" x14ac:dyDescent="0.25">
      <c r="A35" s="68">
        <v>3</v>
      </c>
      <c r="B35" s="69">
        <v>104.82</v>
      </c>
      <c r="C35" s="63">
        <v>16.77</v>
      </c>
      <c r="D35" s="63">
        <v>2.62</v>
      </c>
      <c r="F35" s="65">
        <v>15.45</v>
      </c>
      <c r="G35" s="65"/>
      <c r="H35" s="63"/>
      <c r="I35" s="67">
        <f>SUM(B35:F35)</f>
        <v>139.66</v>
      </c>
      <c r="J35" s="67">
        <f>SUM(I35)*30.42</f>
        <v>4248.4571999999998</v>
      </c>
      <c r="K35" s="64">
        <v>11.18</v>
      </c>
      <c r="L35" s="13"/>
      <c r="M35" s="127"/>
      <c r="N35" s="136"/>
      <c r="O35" s="136"/>
      <c r="P35" s="129"/>
      <c r="Q35" s="99"/>
    </row>
    <row r="36" spans="1:17" x14ac:dyDescent="0.25">
      <c r="A36" s="68">
        <v>4</v>
      </c>
      <c r="B36" s="69">
        <v>122.44</v>
      </c>
      <c r="C36" s="63">
        <v>16.77</v>
      </c>
      <c r="D36" s="63">
        <v>2.62</v>
      </c>
      <c r="F36" s="65">
        <v>15.45</v>
      </c>
      <c r="G36" s="65"/>
      <c r="H36" s="63"/>
      <c r="I36" s="67">
        <f>SUM(B36:F36)</f>
        <v>157.28</v>
      </c>
      <c r="J36" s="67">
        <f>SUM(I36)*30.42</f>
        <v>4784.4576000000006</v>
      </c>
      <c r="K36" s="64">
        <v>11.18</v>
      </c>
      <c r="L36" s="13"/>
      <c r="M36" s="127"/>
      <c r="N36" s="136"/>
      <c r="O36" s="136"/>
      <c r="P36" s="129"/>
      <c r="Q36" s="99"/>
    </row>
    <row r="37" spans="1:17" x14ac:dyDescent="0.25">
      <c r="A37" s="68">
        <v>5</v>
      </c>
      <c r="B37" s="69">
        <v>130.36000000000001</v>
      </c>
      <c r="C37" s="63">
        <v>16.77</v>
      </c>
      <c r="D37" s="63">
        <v>2.62</v>
      </c>
      <c r="F37" s="65">
        <v>15.45</v>
      </c>
      <c r="G37" s="65"/>
      <c r="H37" s="63"/>
      <c r="I37" s="67">
        <f>SUM(B37:F37)</f>
        <v>165.20000000000002</v>
      </c>
      <c r="J37" s="67">
        <f>SUM(I37)*30.42</f>
        <v>5025.3840000000009</v>
      </c>
      <c r="K37" s="64">
        <v>11.18</v>
      </c>
      <c r="L37" s="13"/>
      <c r="M37" s="127"/>
      <c r="N37" s="136"/>
      <c r="O37" s="136"/>
      <c r="P37" s="129"/>
      <c r="Q37" s="99"/>
    </row>
    <row r="38" spans="1:17" x14ac:dyDescent="0.25">
      <c r="A38" s="70" t="s">
        <v>13</v>
      </c>
      <c r="B38" s="69">
        <v>113.63</v>
      </c>
      <c r="C38" s="63">
        <v>16.77</v>
      </c>
      <c r="D38" s="63">
        <v>2.62</v>
      </c>
      <c r="F38" s="65">
        <v>15.45</v>
      </c>
      <c r="G38" s="65"/>
      <c r="H38" s="63"/>
      <c r="I38" s="67">
        <f>SUM(B38:F38)</f>
        <v>148.47</v>
      </c>
      <c r="J38" s="67">
        <f>SUM(I38)*19</f>
        <v>2820.93</v>
      </c>
      <c r="K38" s="64">
        <v>11.18</v>
      </c>
      <c r="L38" s="13"/>
      <c r="M38" s="127"/>
      <c r="N38" s="136"/>
      <c r="O38" s="136"/>
      <c r="P38" s="129"/>
      <c r="Q38" s="99"/>
    </row>
    <row r="39" spans="1:17" x14ac:dyDescent="0.25">
      <c r="A39" s="7"/>
      <c r="B39" s="8"/>
      <c r="C39" s="9"/>
      <c r="D39" s="9"/>
      <c r="E39" s="10"/>
      <c r="F39" s="10"/>
      <c r="G39" s="10"/>
      <c r="H39" s="10"/>
      <c r="I39" s="10"/>
      <c r="J39" s="10"/>
      <c r="K39" s="6"/>
      <c r="L39" s="6"/>
      <c r="M39" s="139"/>
      <c r="N39" s="99"/>
      <c r="O39" s="99"/>
      <c r="P39" s="140"/>
      <c r="Q39" s="99"/>
    </row>
    <row r="40" spans="1:17" x14ac:dyDescent="0.25">
      <c r="A40" s="11" t="s">
        <v>29</v>
      </c>
      <c r="B40" s="12" t="s">
        <v>49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5">
      <c r="A41" s="11" t="s">
        <v>29</v>
      </c>
      <c r="B41" s="12" t="s">
        <v>30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1" t="s">
        <v>29</v>
      </c>
      <c r="B42" s="12" t="s">
        <v>44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1" t="s">
        <v>29</v>
      </c>
      <c r="B43" s="12" t="s">
        <v>45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7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</sheetData>
  <mergeCells count="8">
    <mergeCell ref="K12:K13"/>
    <mergeCell ref="H32:H33"/>
    <mergeCell ref="A32:A33"/>
    <mergeCell ref="B32:B33"/>
    <mergeCell ref="C32:C33"/>
    <mergeCell ref="K32:K33"/>
    <mergeCell ref="F32:F33"/>
    <mergeCell ref="G32:G33"/>
  </mergeCells>
  <pageMargins left="0.7" right="0.7" top="0.78740157499999996" bottom="0.78740157499999996" header="0.3" footer="0.3"/>
  <pageSetup paperSize="9" orientation="portrait" r:id="rId1"/>
  <headerFooter>
    <oddFooter>&amp;LStand 01.01.2024&amp;RFreigabe: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18AD-60CB-47B0-80AA-35B37B3AC045}">
  <dimension ref="A1:R47"/>
  <sheetViews>
    <sheetView view="pageLayout" zoomScaleNormal="100" workbookViewId="0">
      <selection activeCell="B16" sqref="B16"/>
    </sheetView>
  </sheetViews>
  <sheetFormatPr baseColWidth="10" defaultRowHeight="15" x14ac:dyDescent="0.25"/>
  <cols>
    <col min="1" max="1" width="5.5703125" customWidth="1"/>
    <col min="2" max="2" width="9.7109375" customWidth="1"/>
    <col min="3" max="3" width="10" customWidth="1"/>
    <col min="4" max="4" width="11" customWidth="1"/>
    <col min="5" max="5" width="10.7109375" hidden="1" customWidth="1"/>
    <col min="6" max="6" width="15.140625" hidden="1" customWidth="1"/>
    <col min="7" max="9" width="0.140625" hidden="1" customWidth="1"/>
    <col min="10" max="10" width="13.140625" hidden="1" customWidth="1"/>
    <col min="11" max="11" width="9.28515625" customWidth="1"/>
    <col min="12" max="12" width="3" customWidth="1"/>
    <col min="13" max="13" width="4.42578125" customWidth="1"/>
    <col min="14" max="14" width="10.140625" customWidth="1"/>
    <col min="15" max="15" width="11.5703125" customWidth="1"/>
    <col min="16" max="16" width="10.7109375" style="253" customWidth="1"/>
    <col min="17" max="17" width="9.7109375" hidden="1" customWidth="1"/>
    <col min="18" max="18" width="16.140625" customWidth="1"/>
    <col min="19" max="20" width="25" customWidth="1"/>
  </cols>
  <sheetData>
    <row r="1" spans="1:18" x14ac:dyDescent="0.25">
      <c r="P1"/>
    </row>
    <row r="2" spans="1:18" x14ac:dyDescent="0.25">
      <c r="P2"/>
    </row>
    <row r="3" spans="1:18" x14ac:dyDescent="0.25">
      <c r="P3"/>
    </row>
    <row r="4" spans="1:18" x14ac:dyDescent="0.25">
      <c r="P4"/>
    </row>
    <row r="5" spans="1:18" x14ac:dyDescent="0.25">
      <c r="P5"/>
    </row>
    <row r="6" spans="1:18" ht="18.75" x14ac:dyDescent="0.3">
      <c r="B6" s="96" t="s">
        <v>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P6"/>
      <c r="R6" s="258"/>
    </row>
    <row r="7" spans="1:18" x14ac:dyDescent="0.25">
      <c r="P7"/>
    </row>
    <row r="8" spans="1:18" ht="15.75" thickBot="1" x14ac:dyDescent="0.3">
      <c r="A8" t="s">
        <v>31</v>
      </c>
      <c r="M8" t="s">
        <v>32</v>
      </c>
      <c r="P8"/>
    </row>
    <row r="9" spans="1:18" ht="15.75" thickBot="1" x14ac:dyDescent="0.3">
      <c r="A9" s="170"/>
      <c r="B9" s="171" t="s">
        <v>0</v>
      </c>
      <c r="C9" s="171"/>
      <c r="D9" s="171"/>
      <c r="E9" s="172"/>
      <c r="K9" s="58"/>
      <c r="L9" s="100"/>
      <c r="M9" s="245" t="s">
        <v>14</v>
      </c>
      <c r="N9" s="75" t="s">
        <v>15</v>
      </c>
      <c r="O9" s="250" t="s">
        <v>4</v>
      </c>
      <c r="P9" s="255" t="s">
        <v>4</v>
      </c>
      <c r="Q9" s="133"/>
    </row>
    <row r="10" spans="1:18" ht="15.75" thickBot="1" x14ac:dyDescent="0.3">
      <c r="A10" s="173"/>
      <c r="B10" s="58"/>
      <c r="C10" s="79" t="s">
        <v>1</v>
      </c>
      <c r="D10" s="79"/>
      <c r="E10" s="100"/>
      <c r="F10" s="81"/>
      <c r="G10" s="81"/>
      <c r="H10" s="81"/>
      <c r="I10" s="81"/>
      <c r="J10" s="81"/>
      <c r="K10" s="58"/>
      <c r="L10" s="100"/>
      <c r="M10" s="254"/>
      <c r="N10" s="75" t="s">
        <v>16</v>
      </c>
      <c r="O10" s="250" t="s">
        <v>17</v>
      </c>
      <c r="P10" s="255" t="s">
        <v>18</v>
      </c>
      <c r="Q10" s="152"/>
    </row>
    <row r="11" spans="1:18" ht="15.75" thickBot="1" x14ac:dyDescent="0.3">
      <c r="A11" s="174" t="s">
        <v>2</v>
      </c>
      <c r="B11" s="58" t="s">
        <v>3</v>
      </c>
      <c r="C11" s="86" t="s">
        <v>4</v>
      </c>
      <c r="D11" s="86" t="s">
        <v>5</v>
      </c>
      <c r="E11" s="87" t="s">
        <v>6</v>
      </c>
      <c r="F11" s="88"/>
      <c r="G11" s="89"/>
      <c r="H11" s="89"/>
      <c r="I11" s="89"/>
      <c r="J11" s="89"/>
      <c r="K11" s="58"/>
      <c r="L11" s="100"/>
      <c r="M11" s="254"/>
      <c r="N11" s="143"/>
      <c r="O11" s="256" t="s">
        <v>19</v>
      </c>
      <c r="P11" s="257"/>
      <c r="Q11" s="268"/>
    </row>
    <row r="12" spans="1:18" x14ac:dyDescent="0.25">
      <c r="A12" s="174" t="s">
        <v>7</v>
      </c>
      <c r="B12" s="58"/>
      <c r="C12" s="92" t="s">
        <v>2</v>
      </c>
      <c r="D12" s="92" t="s">
        <v>8</v>
      </c>
      <c r="E12" s="93" t="s">
        <v>9</v>
      </c>
      <c r="F12" s="94"/>
      <c r="G12" s="95"/>
      <c r="H12" s="95"/>
      <c r="I12" s="95"/>
      <c r="J12" s="156"/>
      <c r="K12" s="275" t="s">
        <v>36</v>
      </c>
      <c r="L12" s="58"/>
      <c r="M12" s="260">
        <v>1</v>
      </c>
      <c r="N12" s="262">
        <v>159.65</v>
      </c>
      <c r="O12" s="251">
        <v>113.63</v>
      </c>
      <c r="P12" s="263">
        <v>46.02</v>
      </c>
      <c r="Q12" s="269">
        <v>113.63</v>
      </c>
    </row>
    <row r="13" spans="1:18" ht="14.25" customHeight="1" thickBot="1" x14ac:dyDescent="0.3">
      <c r="A13" s="175"/>
      <c r="C13" s="15" t="s">
        <v>10</v>
      </c>
      <c r="D13" s="15" t="s">
        <v>11</v>
      </c>
      <c r="E13" s="16" t="s">
        <v>12</v>
      </c>
      <c r="F13" s="17"/>
      <c r="G13" s="18"/>
      <c r="H13" s="19">
        <v>0.5</v>
      </c>
      <c r="I13" s="19">
        <v>0.5</v>
      </c>
      <c r="J13" s="112"/>
      <c r="K13" s="276"/>
      <c r="L13" s="105"/>
      <c r="M13" s="261">
        <v>2</v>
      </c>
      <c r="N13" s="264">
        <f>SUM(N12*2)</f>
        <v>319.3</v>
      </c>
      <c r="O13" s="252">
        <f>SUM(O12*2)</f>
        <v>227.26</v>
      </c>
      <c r="P13" s="265">
        <f>SUM(P12*2)</f>
        <v>92.04</v>
      </c>
      <c r="Q13" s="270">
        <f>SUM(Q12*2)</f>
        <v>227.26</v>
      </c>
    </row>
    <row r="14" spans="1:18" x14ac:dyDescent="0.25">
      <c r="A14" s="176"/>
      <c r="B14" s="22"/>
      <c r="C14" s="23"/>
      <c r="D14" s="23"/>
      <c r="E14" s="177"/>
      <c r="F14" s="26"/>
      <c r="G14" s="26"/>
      <c r="H14" s="26"/>
      <c r="I14" s="26"/>
      <c r="J14" s="27"/>
      <c r="K14" s="157"/>
      <c r="L14" s="99"/>
      <c r="M14" s="261">
        <v>3</v>
      </c>
      <c r="N14" s="264">
        <f>SUM(N12*3)</f>
        <v>478.95000000000005</v>
      </c>
      <c r="O14" s="252">
        <f>SUM(O12*3)</f>
        <v>340.89</v>
      </c>
      <c r="P14" s="265">
        <f>SUM(P12*3)</f>
        <v>138.06</v>
      </c>
      <c r="Q14" s="270">
        <f>SUM(Q12*3)</f>
        <v>340.89</v>
      </c>
    </row>
    <row r="15" spans="1:18" x14ac:dyDescent="0.25">
      <c r="A15" s="178">
        <v>2</v>
      </c>
      <c r="B15" s="29">
        <v>4074.45</v>
      </c>
      <c r="C15" s="30">
        <v>805</v>
      </c>
      <c r="D15" s="31">
        <f>SUM(D34)*30.42</f>
        <v>79.700400000000002</v>
      </c>
      <c r="E15" s="179">
        <f>SUM(B15-C15)</f>
        <v>3269.45</v>
      </c>
      <c r="F15" s="34">
        <f>SUM(B34+D34)*30.42</f>
        <v>2754.2268000000004</v>
      </c>
      <c r="G15" s="34">
        <f>SUM(F15-C15)</f>
        <v>1949.2268000000004</v>
      </c>
      <c r="H15" s="34">
        <f>SUM(G15*50/100)</f>
        <v>974.6134000000003</v>
      </c>
      <c r="I15" s="34">
        <f>SUM(E15-H15)</f>
        <v>2294.8365999999996</v>
      </c>
      <c r="J15" s="35"/>
      <c r="K15" s="36">
        <f>SUM(E15-H15)</f>
        <v>2294.8365999999996</v>
      </c>
      <c r="L15" s="106"/>
      <c r="M15" s="261">
        <v>4</v>
      </c>
      <c r="N15" s="264">
        <f>SUM(N12*4)</f>
        <v>638.6</v>
      </c>
      <c r="O15" s="252">
        <f>SUM(O12*4)</f>
        <v>454.52</v>
      </c>
      <c r="P15" s="265">
        <f>SUM(P12*4)</f>
        <v>184.08</v>
      </c>
      <c r="Q15" s="270">
        <f>SUM(Q12*4)</f>
        <v>454.52</v>
      </c>
    </row>
    <row r="16" spans="1:18" ht="15.75" thickBot="1" x14ac:dyDescent="0.3">
      <c r="A16" s="180"/>
      <c r="B16" s="38"/>
      <c r="C16" s="39"/>
      <c r="D16" s="39"/>
      <c r="E16" s="181"/>
      <c r="F16" s="42"/>
      <c r="G16" s="42"/>
      <c r="H16" s="42"/>
      <c r="I16" s="42"/>
      <c r="J16" s="43"/>
      <c r="K16" s="4"/>
      <c r="L16" s="107"/>
      <c r="M16" s="261">
        <v>5</v>
      </c>
      <c r="N16" s="264">
        <f>SUM(N12*5)</f>
        <v>798.25</v>
      </c>
      <c r="O16" s="252">
        <f>SUM(O12*5)</f>
        <v>568.15</v>
      </c>
      <c r="P16" s="265">
        <f>SUM(P12*5)</f>
        <v>230.10000000000002</v>
      </c>
      <c r="Q16" s="270">
        <f>SUM(Q12*5)</f>
        <v>568.15</v>
      </c>
    </row>
    <row r="17" spans="1:18" x14ac:dyDescent="0.25">
      <c r="A17" s="176"/>
      <c r="B17" s="44"/>
      <c r="C17" s="45"/>
      <c r="D17" s="45"/>
      <c r="E17" s="182"/>
      <c r="F17" s="48"/>
      <c r="G17" s="48"/>
      <c r="H17" s="48"/>
      <c r="I17" s="48"/>
      <c r="J17" s="49"/>
      <c r="K17" s="50"/>
      <c r="L17" s="107"/>
      <c r="M17" s="261">
        <v>6</v>
      </c>
      <c r="N17" s="264">
        <f>SUM(N12*6)</f>
        <v>957.90000000000009</v>
      </c>
      <c r="O17" s="252">
        <f>SUM(O12*6)</f>
        <v>681.78</v>
      </c>
      <c r="P17" s="265">
        <f>SUM(P12*6)</f>
        <v>276.12</v>
      </c>
      <c r="Q17" s="270">
        <f>SUM(Q12*6)</f>
        <v>681.78</v>
      </c>
    </row>
    <row r="18" spans="1:18" x14ac:dyDescent="0.25">
      <c r="A18" s="178">
        <v>3</v>
      </c>
      <c r="B18" s="51">
        <v>4588.55</v>
      </c>
      <c r="C18" s="30">
        <v>1319</v>
      </c>
      <c r="D18" s="31">
        <f>SUM(D35)*30.42</f>
        <v>79.700400000000002</v>
      </c>
      <c r="E18" s="179">
        <f>SUM(B18-C18)</f>
        <v>3269.55</v>
      </c>
      <c r="F18" s="34">
        <f>SUM(B35+D35)*30.42</f>
        <v>3268.3248000000003</v>
      </c>
      <c r="G18" s="34">
        <f>SUM(F18-C18)</f>
        <v>1949.3248000000003</v>
      </c>
      <c r="H18" s="34">
        <f>SUM(G18*50/100)</f>
        <v>974.66240000000016</v>
      </c>
      <c r="I18" s="34">
        <f>SUM(E18-H18)</f>
        <v>2294.8876</v>
      </c>
      <c r="J18" s="35"/>
      <c r="K18" s="36">
        <f>SUM(E18-H18)</f>
        <v>2294.8876</v>
      </c>
      <c r="L18" s="106"/>
      <c r="M18" s="261">
        <v>7</v>
      </c>
      <c r="N18" s="264">
        <f>SUM(N12*7)</f>
        <v>1117.55</v>
      </c>
      <c r="O18" s="252">
        <f>SUM(O12*7)</f>
        <v>795.41</v>
      </c>
      <c r="P18" s="265">
        <f>SUM(P12*7)</f>
        <v>322.14000000000004</v>
      </c>
      <c r="Q18" s="270">
        <f>SUM(Q12*7)</f>
        <v>795.41</v>
      </c>
    </row>
    <row r="19" spans="1:18" ht="15.75" thickBot="1" x14ac:dyDescent="0.3">
      <c r="A19" s="180"/>
      <c r="B19" s="38"/>
      <c r="C19" s="39"/>
      <c r="D19" s="39"/>
      <c r="E19" s="181"/>
      <c r="F19" s="42"/>
      <c r="G19" s="42"/>
      <c r="H19" s="42"/>
      <c r="I19" s="42"/>
      <c r="J19" s="43"/>
      <c r="K19" s="4"/>
      <c r="L19" s="107"/>
      <c r="M19" s="261">
        <v>8</v>
      </c>
      <c r="N19" s="264">
        <f>SUM(N12*8)</f>
        <v>1277.2</v>
      </c>
      <c r="O19" s="252">
        <f>SUM(O12*8)</f>
        <v>909.04</v>
      </c>
      <c r="P19" s="265">
        <f>SUM(P12*8)</f>
        <v>368.16</v>
      </c>
      <c r="Q19" s="270">
        <f>SUM(Q12*8)</f>
        <v>909.04</v>
      </c>
    </row>
    <row r="20" spans="1:18" x14ac:dyDescent="0.25">
      <c r="A20" s="176"/>
      <c r="B20" s="44"/>
      <c r="C20" s="45"/>
      <c r="D20" s="45"/>
      <c r="E20" s="182"/>
      <c r="F20" s="48"/>
      <c r="G20" s="48"/>
      <c r="H20" s="48"/>
      <c r="I20" s="48"/>
      <c r="J20" s="49"/>
      <c r="K20" s="50"/>
      <c r="L20" s="107"/>
      <c r="M20" s="261">
        <v>9</v>
      </c>
      <c r="N20" s="264">
        <f>SUM(N12*9)</f>
        <v>1436.8500000000001</v>
      </c>
      <c r="O20" s="252">
        <f>SUM(O12*9)</f>
        <v>1022.67</v>
      </c>
      <c r="P20" s="265">
        <f>SUM(P12*9)</f>
        <v>414.18</v>
      </c>
      <c r="Q20" s="270">
        <f>SUM(Q12*9)</f>
        <v>1022.67</v>
      </c>
    </row>
    <row r="21" spans="1:18" x14ac:dyDescent="0.25">
      <c r="A21" s="178">
        <v>4</v>
      </c>
      <c r="B21" s="51">
        <v>5124.55</v>
      </c>
      <c r="C21" s="30">
        <v>1855</v>
      </c>
      <c r="D21" s="31">
        <f>SUM(D36)*30.42</f>
        <v>79.700400000000002</v>
      </c>
      <c r="E21" s="179">
        <f>SUM(B21-C21)</f>
        <v>3269.55</v>
      </c>
      <c r="F21" s="34">
        <f>SUM(B36+D36)*30.42</f>
        <v>3804.3252000000002</v>
      </c>
      <c r="G21" s="34">
        <f>SUM(F21-C21)</f>
        <v>1949.3252000000002</v>
      </c>
      <c r="H21" s="34">
        <f>SUM(G21*50/100)</f>
        <v>974.66260000000011</v>
      </c>
      <c r="I21" s="34">
        <f>SUM(E21-H21)</f>
        <v>2294.8874000000001</v>
      </c>
      <c r="J21" s="35"/>
      <c r="K21" s="36">
        <f>SUM(E21-H21)</f>
        <v>2294.8874000000001</v>
      </c>
      <c r="L21" s="106"/>
      <c r="M21" s="261">
        <v>10</v>
      </c>
      <c r="N21" s="264">
        <f>SUM(N12*10)</f>
        <v>1596.5</v>
      </c>
      <c r="O21" s="252">
        <f>SUM(O12*10)</f>
        <v>1136.3</v>
      </c>
      <c r="P21" s="265">
        <f>SUM(P12*10)</f>
        <v>460.20000000000005</v>
      </c>
      <c r="Q21" s="270">
        <f>SUM(Q12*10)</f>
        <v>1136.3</v>
      </c>
    </row>
    <row r="22" spans="1:18" ht="15.75" thickBot="1" x14ac:dyDescent="0.3">
      <c r="A22" s="180"/>
      <c r="B22" s="38"/>
      <c r="C22" s="39"/>
      <c r="D22" s="39"/>
      <c r="E22" s="181"/>
      <c r="F22" s="42"/>
      <c r="G22" s="42"/>
      <c r="H22" s="42"/>
      <c r="I22" s="42"/>
      <c r="J22" s="43"/>
      <c r="K22" s="4"/>
      <c r="L22" s="107"/>
      <c r="M22" s="261">
        <v>11</v>
      </c>
      <c r="N22" s="264">
        <f>SUM(N12*11)</f>
        <v>1756.15</v>
      </c>
      <c r="O22" s="252">
        <f>SUM(O12*11)</f>
        <v>1249.9299999999998</v>
      </c>
      <c r="P22" s="265">
        <f>SUM(P12*11)</f>
        <v>506.22</v>
      </c>
      <c r="Q22" s="270">
        <f>SUM(Q12*11)</f>
        <v>1249.9299999999998</v>
      </c>
    </row>
    <row r="23" spans="1:18" x14ac:dyDescent="0.25">
      <c r="A23" s="176"/>
      <c r="B23" s="44"/>
      <c r="C23" s="45"/>
      <c r="D23" s="45"/>
      <c r="E23" s="182"/>
      <c r="F23" s="48"/>
      <c r="G23" s="48"/>
      <c r="H23" s="48"/>
      <c r="I23" s="48"/>
      <c r="J23" s="49"/>
      <c r="K23" s="50"/>
      <c r="L23" s="107"/>
      <c r="M23" s="261">
        <v>12</v>
      </c>
      <c r="N23" s="264">
        <f>SUM(N12*12)</f>
        <v>1915.8000000000002</v>
      </c>
      <c r="O23" s="252">
        <f>SUM(O12*12)</f>
        <v>1363.56</v>
      </c>
      <c r="P23" s="265">
        <f>SUM(P12*12)</f>
        <v>552.24</v>
      </c>
      <c r="Q23" s="270">
        <f>SUM(Q12*12)</f>
        <v>1363.56</v>
      </c>
    </row>
    <row r="24" spans="1:18" x14ac:dyDescent="0.25">
      <c r="A24" s="178">
        <v>5</v>
      </c>
      <c r="B24" s="51">
        <v>5365.48</v>
      </c>
      <c r="C24" s="30">
        <v>2096</v>
      </c>
      <c r="D24" s="31">
        <f>SUM(D37)*30.42</f>
        <v>79.700400000000002</v>
      </c>
      <c r="E24" s="179">
        <f>SUM(B24-C24)</f>
        <v>3269.4799999999996</v>
      </c>
      <c r="F24" s="34">
        <f>SUM(B37+D37)*30.42</f>
        <v>4045.251600000001</v>
      </c>
      <c r="G24" s="34">
        <f>SUM(F24-C24)</f>
        <v>1949.251600000001</v>
      </c>
      <c r="H24" s="34">
        <f>SUM(G24*50/100)</f>
        <v>974.62580000000048</v>
      </c>
      <c r="I24" s="34">
        <f>SUM(E24-H24)</f>
        <v>2294.8541999999989</v>
      </c>
      <c r="J24" s="35"/>
      <c r="K24" s="36">
        <f>SUM(E24-H24)</f>
        <v>2294.8541999999989</v>
      </c>
      <c r="L24" s="106"/>
      <c r="M24" s="261">
        <v>13</v>
      </c>
      <c r="N24" s="264">
        <f>SUM(N12*13)</f>
        <v>2075.4500000000003</v>
      </c>
      <c r="O24" s="252">
        <f>SUM(O12*13)</f>
        <v>1477.19</v>
      </c>
      <c r="P24" s="265">
        <f>SUM(P12*13)</f>
        <v>598.26</v>
      </c>
      <c r="Q24" s="270">
        <f>SUM(Q12*13)</f>
        <v>1477.19</v>
      </c>
    </row>
    <row r="25" spans="1:18" ht="15.75" thickBot="1" x14ac:dyDescent="0.3">
      <c r="A25" s="180"/>
      <c r="B25" s="53"/>
      <c r="C25" s="54"/>
      <c r="D25" s="54"/>
      <c r="E25" s="183"/>
      <c r="F25" s="55"/>
      <c r="G25" s="55"/>
      <c r="H25" s="55"/>
      <c r="I25" s="55"/>
      <c r="J25" s="56"/>
      <c r="K25" s="4"/>
      <c r="L25" s="107"/>
      <c r="M25" s="261">
        <v>14</v>
      </c>
      <c r="N25" s="264">
        <f>SUM(N12*14)</f>
        <v>2235.1</v>
      </c>
      <c r="O25" s="252">
        <f>SUM(O12*14)</f>
        <v>1590.82</v>
      </c>
      <c r="P25" s="265">
        <f>SUM(P12*14)</f>
        <v>644.28000000000009</v>
      </c>
      <c r="Q25" s="270">
        <f>SUM(Q12*14)</f>
        <v>1590.82</v>
      </c>
    </row>
    <row r="26" spans="1:18" x14ac:dyDescent="0.25">
      <c r="A26" s="176"/>
      <c r="B26" s="44"/>
      <c r="C26" s="45"/>
      <c r="D26" s="45"/>
      <c r="E26" s="182"/>
      <c r="F26" s="48"/>
      <c r="G26" s="48"/>
      <c r="H26" s="48"/>
      <c r="I26" s="48"/>
      <c r="J26" s="49"/>
      <c r="K26" s="50"/>
      <c r="L26" s="107"/>
      <c r="M26" s="261">
        <v>15</v>
      </c>
      <c r="N26" s="264">
        <f>SUM(N12*15)</f>
        <v>2394.75</v>
      </c>
      <c r="O26" s="252">
        <f>SUM(O12*15)</f>
        <v>1704.4499999999998</v>
      </c>
      <c r="P26" s="265">
        <f>SUM(P12*15)</f>
        <v>690.30000000000007</v>
      </c>
      <c r="Q26" s="270">
        <f>SUM(Q12*15)</f>
        <v>1704.4499999999998</v>
      </c>
    </row>
    <row r="27" spans="1:18" x14ac:dyDescent="0.25">
      <c r="A27" s="178" t="s">
        <v>13</v>
      </c>
      <c r="B27" s="97"/>
      <c r="C27" s="125">
        <v>1854</v>
      </c>
      <c r="D27" s="31">
        <f>SUM(H38)*16</f>
        <v>0</v>
      </c>
      <c r="E27" s="179"/>
      <c r="F27" s="34"/>
      <c r="G27" s="34"/>
      <c r="H27" s="34"/>
      <c r="I27" s="34"/>
      <c r="J27" s="35"/>
      <c r="K27" s="57"/>
      <c r="L27" s="107"/>
      <c r="M27" s="261">
        <v>16</v>
      </c>
      <c r="N27" s="264">
        <f>SUM(N12*16)</f>
        <v>2554.4</v>
      </c>
      <c r="O27" s="252">
        <f>SUM(O12*16)</f>
        <v>1818.08</v>
      </c>
      <c r="P27" s="265">
        <f>SUM(P12*16)</f>
        <v>736.32</v>
      </c>
      <c r="Q27" s="270">
        <f>SUM(Q12*16)</f>
        <v>1818.08</v>
      </c>
    </row>
    <row r="28" spans="1:18" ht="15.75" thickBot="1" x14ac:dyDescent="0.3">
      <c r="A28" s="184" t="s">
        <v>46</v>
      </c>
      <c r="B28" s="185"/>
      <c r="C28" s="195">
        <v>1685</v>
      </c>
      <c r="D28" s="124"/>
      <c r="E28" s="186"/>
      <c r="F28" s="55"/>
      <c r="G28" s="55"/>
      <c r="H28" s="55"/>
      <c r="I28" s="55"/>
      <c r="J28" s="56"/>
      <c r="K28" s="4"/>
      <c r="L28" s="107"/>
      <c r="M28" s="233">
        <v>17</v>
      </c>
      <c r="N28" s="266">
        <f>SUM(N12*17)</f>
        <v>2714.05</v>
      </c>
      <c r="O28" s="232">
        <v>1854</v>
      </c>
      <c r="P28" s="267">
        <v>853.93</v>
      </c>
      <c r="Q28" s="271">
        <v>1854</v>
      </c>
      <c r="R28" s="51"/>
    </row>
    <row r="29" spans="1:18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M29" s="127"/>
      <c r="N29" s="136"/>
      <c r="O29" s="136"/>
      <c r="P29" s="129"/>
    </row>
    <row r="30" spans="1:18" ht="16.5" customHeight="1" x14ac:dyDescent="0.25">
      <c r="M30" s="127"/>
      <c r="N30" s="136"/>
      <c r="O30" s="136"/>
      <c r="P30" s="129" t="s">
        <v>48</v>
      </c>
    </row>
    <row r="31" spans="1:18" ht="23.25" customHeight="1" x14ac:dyDescent="0.25">
      <c r="A31" s="5" t="s">
        <v>20</v>
      </c>
      <c r="B31" s="71"/>
      <c r="C31" s="71"/>
      <c r="D31" s="71"/>
      <c r="E31" s="72"/>
      <c r="F31" s="73"/>
      <c r="G31" s="12"/>
      <c r="H31" s="12"/>
      <c r="I31" s="12"/>
      <c r="J31" s="12"/>
      <c r="K31" s="12"/>
      <c r="M31" s="127"/>
      <c r="N31" s="136"/>
      <c r="O31" s="136"/>
      <c r="P31" s="129"/>
    </row>
    <row r="32" spans="1:18" ht="24" customHeight="1" x14ac:dyDescent="0.25">
      <c r="A32" s="278" t="s">
        <v>21</v>
      </c>
      <c r="B32" s="272" t="s">
        <v>22</v>
      </c>
      <c r="C32" s="272" t="s">
        <v>41</v>
      </c>
      <c r="D32" s="60" t="s">
        <v>5</v>
      </c>
      <c r="F32" s="274" t="s">
        <v>25</v>
      </c>
      <c r="G32" s="272" t="s">
        <v>26</v>
      </c>
      <c r="H32" s="272" t="s">
        <v>27</v>
      </c>
      <c r="I32" s="59"/>
      <c r="J32" s="59"/>
      <c r="K32" s="277" t="s">
        <v>24</v>
      </c>
      <c r="M32" s="127"/>
      <c r="N32" s="136"/>
      <c r="O32" s="136"/>
      <c r="P32" s="259"/>
    </row>
    <row r="33" spans="1:17" ht="21.75" customHeight="1" x14ac:dyDescent="0.25">
      <c r="A33" s="278"/>
      <c r="B33" s="272"/>
      <c r="C33" s="272"/>
      <c r="D33" s="60" t="s">
        <v>28</v>
      </c>
      <c r="F33" s="274"/>
      <c r="G33" s="272"/>
      <c r="H33" s="272"/>
      <c r="I33" s="59"/>
      <c r="J33" s="59"/>
      <c r="K33" s="277"/>
      <c r="M33" s="127"/>
      <c r="N33" s="136"/>
      <c r="O33" s="136"/>
      <c r="P33" s="129"/>
    </row>
    <row r="34" spans="1:17" x14ac:dyDescent="0.25">
      <c r="A34" s="61">
        <v>2</v>
      </c>
      <c r="B34" s="62">
        <v>87.92</v>
      </c>
      <c r="C34" s="63">
        <v>16.77</v>
      </c>
      <c r="D34" s="63">
        <v>2.62</v>
      </c>
      <c r="F34" s="65">
        <v>15.45</v>
      </c>
      <c r="G34" s="65"/>
      <c r="H34" s="66"/>
      <c r="I34" s="67">
        <f>SUM(B34:F34)</f>
        <v>122.76</v>
      </c>
      <c r="J34" s="67">
        <f>SUM(I34)*30.42</f>
        <v>3734.3592000000003</v>
      </c>
      <c r="K34" s="64">
        <v>11.18</v>
      </c>
      <c r="L34" s="13"/>
      <c r="M34" s="127"/>
      <c r="N34" s="136"/>
      <c r="O34" s="136"/>
      <c r="P34" s="129"/>
    </row>
    <row r="35" spans="1:17" x14ac:dyDescent="0.25">
      <c r="A35" s="68">
        <v>3</v>
      </c>
      <c r="B35" s="69">
        <v>104.82</v>
      </c>
      <c r="C35" s="63">
        <v>16.77</v>
      </c>
      <c r="D35" s="63">
        <v>2.62</v>
      </c>
      <c r="F35" s="65">
        <v>15.45</v>
      </c>
      <c r="G35" s="65"/>
      <c r="H35" s="66"/>
      <c r="I35" s="67">
        <f>SUM(B35:F35)</f>
        <v>139.66</v>
      </c>
      <c r="J35" s="67">
        <f>SUM(I35)*30.42</f>
        <v>4248.4571999999998</v>
      </c>
      <c r="K35" s="64">
        <v>11.18</v>
      </c>
      <c r="L35" s="13"/>
      <c r="M35" s="127"/>
      <c r="N35" s="136"/>
      <c r="O35" s="136"/>
      <c r="P35" s="129"/>
    </row>
    <row r="36" spans="1:17" x14ac:dyDescent="0.25">
      <c r="A36" s="68">
        <v>4</v>
      </c>
      <c r="B36" s="69">
        <v>122.44</v>
      </c>
      <c r="C36" s="63">
        <v>16.77</v>
      </c>
      <c r="D36" s="63">
        <v>2.62</v>
      </c>
      <c r="F36" s="65">
        <v>15.45</v>
      </c>
      <c r="G36" s="65"/>
      <c r="H36" s="66"/>
      <c r="I36" s="67">
        <f>SUM(B36:F36)</f>
        <v>157.28</v>
      </c>
      <c r="J36" s="67">
        <f>SUM(I36)*30.42</f>
        <v>4784.4576000000006</v>
      </c>
      <c r="K36" s="64">
        <v>11.18</v>
      </c>
      <c r="L36" s="13"/>
      <c r="M36" s="127"/>
      <c r="N36" s="136"/>
      <c r="O36" s="136"/>
      <c r="P36" s="129"/>
    </row>
    <row r="37" spans="1:17" x14ac:dyDescent="0.25">
      <c r="A37" s="68">
        <v>5</v>
      </c>
      <c r="B37" s="69">
        <v>130.36000000000001</v>
      </c>
      <c r="C37" s="63">
        <v>16.77</v>
      </c>
      <c r="D37" s="63">
        <v>2.62</v>
      </c>
      <c r="F37" s="65">
        <v>15.45</v>
      </c>
      <c r="G37" s="65"/>
      <c r="H37" s="66"/>
      <c r="I37" s="67">
        <f>SUM(B37:F37)</f>
        <v>165.20000000000002</v>
      </c>
      <c r="J37" s="67">
        <f>SUM(I37)*30.42</f>
        <v>5025.3840000000009</v>
      </c>
      <c r="K37" s="64">
        <v>11.18</v>
      </c>
      <c r="L37" s="13"/>
      <c r="M37" s="127"/>
      <c r="N37" s="136"/>
      <c r="O37" s="136"/>
      <c r="P37" s="129"/>
    </row>
    <row r="38" spans="1:17" x14ac:dyDescent="0.25">
      <c r="A38" s="70" t="s">
        <v>13</v>
      </c>
      <c r="B38" s="69">
        <v>113.63</v>
      </c>
      <c r="C38" s="63">
        <v>16.77</v>
      </c>
      <c r="D38" s="63">
        <v>2.62</v>
      </c>
      <c r="F38" s="65">
        <v>15.45</v>
      </c>
      <c r="G38" s="65"/>
      <c r="H38" s="66"/>
      <c r="I38" s="67">
        <f>SUM(B38:F38)</f>
        <v>148.47</v>
      </c>
      <c r="J38" s="67">
        <f>SUM(I38)*23</f>
        <v>3414.81</v>
      </c>
      <c r="K38" s="64">
        <v>11.18</v>
      </c>
      <c r="L38" s="13"/>
      <c r="M38" s="127"/>
      <c r="N38" s="136"/>
      <c r="O38" s="136"/>
      <c r="P38" s="129"/>
    </row>
    <row r="39" spans="1:17" x14ac:dyDescent="0.25">
      <c r="A39" s="7"/>
      <c r="B39" s="8"/>
      <c r="C39" s="9"/>
      <c r="D39" s="9"/>
      <c r="E39" s="10"/>
      <c r="F39" s="10"/>
      <c r="G39" s="10"/>
      <c r="H39" s="10"/>
      <c r="I39" s="10"/>
      <c r="J39" s="10"/>
      <c r="K39" s="6"/>
      <c r="L39" s="6"/>
      <c r="M39" s="127"/>
      <c r="N39" s="136"/>
      <c r="O39" s="136"/>
      <c r="P39" s="129"/>
    </row>
    <row r="40" spans="1:17" x14ac:dyDescent="0.25">
      <c r="A40" s="11" t="s">
        <v>29</v>
      </c>
      <c r="B40" s="12" t="s">
        <v>49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5">
      <c r="A41" s="11" t="s">
        <v>29</v>
      </c>
      <c r="B41" s="12" t="s">
        <v>30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1" t="s">
        <v>29</v>
      </c>
      <c r="B42" s="12" t="s">
        <v>44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1" t="s">
        <v>29</v>
      </c>
      <c r="B43" s="12" t="s">
        <v>45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1" t="s">
        <v>29</v>
      </c>
      <c r="B44" s="12" t="s">
        <v>34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7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</sheetData>
  <mergeCells count="8">
    <mergeCell ref="K12:K13"/>
    <mergeCell ref="H32:H33"/>
    <mergeCell ref="A32:A33"/>
    <mergeCell ref="B32:B33"/>
    <mergeCell ref="C32:C33"/>
    <mergeCell ref="K32:K33"/>
    <mergeCell ref="F32:F33"/>
    <mergeCell ref="G32:G33"/>
  </mergeCells>
  <pageMargins left="0.7" right="0.53125" top="0.78740157499999996" bottom="0.78740157499999996" header="0.3" footer="0.3"/>
  <pageSetup paperSize="9" orientation="portrait" r:id="rId1"/>
  <headerFooter>
    <oddFooter xml:space="preserve">&amp;LStand: 01.01.2024&amp;RFreigabe: HL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E13E-FADF-4184-BED6-DAD61D36DA11}">
  <dimension ref="A6:Q46"/>
  <sheetViews>
    <sheetView tabSelected="1" view="pageLayout" topLeftCell="A5" zoomScaleNormal="100" workbookViewId="0">
      <selection activeCell="O28" sqref="O28"/>
    </sheetView>
  </sheetViews>
  <sheetFormatPr baseColWidth="10" defaultRowHeight="15" x14ac:dyDescent="0.25"/>
  <cols>
    <col min="1" max="1" width="4.7109375" customWidth="1"/>
    <col min="2" max="3" width="10.85546875" customWidth="1"/>
    <col min="4" max="4" width="7.7109375" customWidth="1"/>
    <col min="5" max="5" width="9.7109375" customWidth="1"/>
    <col min="6" max="6" width="10.85546875" hidden="1" customWidth="1"/>
    <col min="7" max="7" width="4.85546875" hidden="1" customWidth="1"/>
    <col min="8" max="8" width="18.28515625" hidden="1" customWidth="1"/>
    <col min="9" max="9" width="19.42578125" hidden="1" customWidth="1"/>
    <col min="10" max="10" width="11.42578125" hidden="1" customWidth="1"/>
    <col min="11" max="11" width="10.85546875" customWidth="1"/>
    <col min="12" max="12" width="2.140625" customWidth="1"/>
    <col min="13" max="13" width="4.85546875" customWidth="1"/>
    <col min="14" max="14" width="11.5703125" customWidth="1"/>
    <col min="15" max="15" width="9.85546875" customWidth="1"/>
    <col min="16" max="16" width="10" customWidth="1"/>
    <col min="17" max="17" width="0.28515625" hidden="1" customWidth="1"/>
  </cols>
  <sheetData>
    <row r="6" spans="1:17" ht="18.75" x14ac:dyDescent="0.3">
      <c r="B6" s="96" t="s">
        <v>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8" spans="1:17" ht="15.75" thickBot="1" x14ac:dyDescent="0.3">
      <c r="A8" t="s">
        <v>31</v>
      </c>
      <c r="M8" t="s">
        <v>32</v>
      </c>
    </row>
    <row r="9" spans="1:17" x14ac:dyDescent="0.25">
      <c r="A9" s="170"/>
      <c r="B9" s="171" t="s">
        <v>0</v>
      </c>
      <c r="C9" s="171"/>
      <c r="D9" s="171"/>
      <c r="E9" s="172"/>
      <c r="K9" s="58"/>
      <c r="L9" s="58"/>
      <c r="M9" s="75" t="s">
        <v>14</v>
      </c>
      <c r="N9" s="76" t="s">
        <v>15</v>
      </c>
      <c r="O9" s="76" t="s">
        <v>4</v>
      </c>
      <c r="P9" s="77" t="s">
        <v>4</v>
      </c>
      <c r="Q9" s="133" t="s">
        <v>4</v>
      </c>
    </row>
    <row r="10" spans="1:17" ht="30.75" thickBot="1" x14ac:dyDescent="0.3">
      <c r="A10" s="173"/>
      <c r="B10" s="58"/>
      <c r="C10" s="79" t="s">
        <v>1</v>
      </c>
      <c r="D10" s="79"/>
      <c r="E10" s="100"/>
      <c r="F10" s="81"/>
      <c r="G10" s="81"/>
      <c r="H10" s="81"/>
      <c r="I10" s="81"/>
      <c r="J10" s="81"/>
      <c r="K10" s="58"/>
      <c r="L10" s="58"/>
      <c r="M10" s="82"/>
      <c r="N10" s="83" t="s">
        <v>16</v>
      </c>
      <c r="O10" s="83" t="s">
        <v>17</v>
      </c>
      <c r="P10" s="84" t="s">
        <v>18</v>
      </c>
      <c r="Q10" s="134" t="s">
        <v>38</v>
      </c>
    </row>
    <row r="11" spans="1:17" ht="15.75" thickBot="1" x14ac:dyDescent="0.3">
      <c r="A11" s="174" t="s">
        <v>2</v>
      </c>
      <c r="B11" s="58" t="s">
        <v>3</v>
      </c>
      <c r="C11" s="86" t="s">
        <v>4</v>
      </c>
      <c r="D11" s="86" t="s">
        <v>5</v>
      </c>
      <c r="E11" s="87" t="s">
        <v>6</v>
      </c>
      <c r="F11" s="88"/>
      <c r="G11" s="89"/>
      <c r="H11" s="89"/>
      <c r="I11" s="89"/>
      <c r="J11" s="89"/>
      <c r="K11" s="58"/>
      <c r="L11" s="58"/>
      <c r="M11" s="143"/>
      <c r="N11" s="90"/>
      <c r="O11" s="90" t="s">
        <v>19</v>
      </c>
      <c r="P11" s="91"/>
      <c r="Q11" s="135"/>
    </row>
    <row r="12" spans="1:17" x14ac:dyDescent="0.25">
      <c r="A12" s="174" t="s">
        <v>7</v>
      </c>
      <c r="B12" s="58"/>
      <c r="C12" s="92" t="s">
        <v>2</v>
      </c>
      <c r="D12" s="92" t="s">
        <v>8</v>
      </c>
      <c r="E12" s="93" t="s">
        <v>9</v>
      </c>
      <c r="F12" s="94"/>
      <c r="G12" s="95"/>
      <c r="H12" s="95"/>
      <c r="I12" s="95"/>
      <c r="J12" s="156"/>
      <c r="K12" s="275" t="s">
        <v>37</v>
      </c>
      <c r="L12" s="58"/>
      <c r="M12" s="163">
        <v>1</v>
      </c>
      <c r="N12" s="226">
        <v>159.65</v>
      </c>
      <c r="O12" s="227">
        <v>113.63</v>
      </c>
      <c r="P12" s="130">
        <v>46.02</v>
      </c>
      <c r="Q12" s="164">
        <v>113.63</v>
      </c>
    </row>
    <row r="13" spans="1:17" ht="15.75" customHeight="1" thickBot="1" x14ac:dyDescent="0.3">
      <c r="A13" s="175"/>
      <c r="C13" s="15" t="s">
        <v>10</v>
      </c>
      <c r="D13" s="15" t="s">
        <v>11</v>
      </c>
      <c r="E13" s="16" t="s">
        <v>12</v>
      </c>
      <c r="F13" s="17"/>
      <c r="G13" s="18"/>
      <c r="H13" s="19">
        <v>0.75</v>
      </c>
      <c r="I13" s="19">
        <v>0.75</v>
      </c>
      <c r="J13" s="112"/>
      <c r="K13" s="276"/>
      <c r="L13" s="105"/>
      <c r="M13" s="137">
        <v>2</v>
      </c>
      <c r="N13" s="20">
        <f>SUM(N12*2)</f>
        <v>319.3</v>
      </c>
      <c r="O13" s="20">
        <f>SUM(O12*2)</f>
        <v>227.26</v>
      </c>
      <c r="P13" s="131">
        <f>SUM(P12*2)</f>
        <v>92.04</v>
      </c>
      <c r="Q13" s="165">
        <f>SUM(Q12*2)</f>
        <v>227.26</v>
      </c>
    </row>
    <row r="14" spans="1:17" x14ac:dyDescent="0.25">
      <c r="A14" s="176"/>
      <c r="B14" s="22"/>
      <c r="C14" s="23"/>
      <c r="D14" s="23"/>
      <c r="E14" s="177"/>
      <c r="F14" s="26"/>
      <c r="G14" s="26"/>
      <c r="H14" s="26"/>
      <c r="I14" s="26"/>
      <c r="J14" s="27"/>
      <c r="K14" s="157"/>
      <c r="L14" s="99"/>
      <c r="M14" s="137">
        <v>3</v>
      </c>
      <c r="N14" s="20">
        <f>SUM(N12*3)</f>
        <v>478.95000000000005</v>
      </c>
      <c r="O14" s="20">
        <f>SUM(O12*3)</f>
        <v>340.89</v>
      </c>
      <c r="P14" s="131">
        <f>SUM(P12*3)</f>
        <v>138.06</v>
      </c>
      <c r="Q14" s="165">
        <f>SUM(Q12*3)</f>
        <v>340.89</v>
      </c>
    </row>
    <row r="15" spans="1:17" x14ac:dyDescent="0.25">
      <c r="A15" s="178">
        <v>2</v>
      </c>
      <c r="B15" s="29">
        <f>SUM(J34)</f>
        <v>4074.4548</v>
      </c>
      <c r="C15" s="30">
        <v>805</v>
      </c>
      <c r="D15" s="31">
        <f>SUM(D34)*30.42</f>
        <v>79.700400000000002</v>
      </c>
      <c r="E15" s="179">
        <f>SUM(B15-C15)</f>
        <v>3269.4548</v>
      </c>
      <c r="F15" s="34">
        <f>SUM(B34+D34)*30.42</f>
        <v>2754.2268000000004</v>
      </c>
      <c r="G15" s="34">
        <f>SUM(F15-C15)</f>
        <v>1949.2268000000004</v>
      </c>
      <c r="H15" s="34">
        <f>SUM(G15*75)/100</f>
        <v>1461.9201000000003</v>
      </c>
      <c r="I15" s="34">
        <f>SUM(E15-H15)</f>
        <v>1807.5346999999997</v>
      </c>
      <c r="J15" s="35"/>
      <c r="K15" s="36">
        <f>SUM(I15)</f>
        <v>1807.5346999999997</v>
      </c>
      <c r="L15" s="106"/>
      <c r="M15" s="137">
        <v>4</v>
      </c>
      <c r="N15" s="20">
        <f>SUM(N12*4)</f>
        <v>638.6</v>
      </c>
      <c r="O15" s="20">
        <f>SUM(O12*4)</f>
        <v>454.52</v>
      </c>
      <c r="P15" s="131">
        <f>SUM(P12*4)</f>
        <v>184.08</v>
      </c>
      <c r="Q15" s="165">
        <f>SUM(Q12*4)</f>
        <v>454.52</v>
      </c>
    </row>
    <row r="16" spans="1:17" ht="15.75" thickBot="1" x14ac:dyDescent="0.3">
      <c r="A16" s="180"/>
      <c r="B16" s="38"/>
      <c r="C16" s="39"/>
      <c r="D16" s="39"/>
      <c r="E16" s="181"/>
      <c r="F16" s="42"/>
      <c r="G16" s="42"/>
      <c r="H16" s="42"/>
      <c r="I16" s="42"/>
      <c r="J16" s="43"/>
      <c r="K16" s="4"/>
      <c r="L16" s="107"/>
      <c r="M16" s="137">
        <v>5</v>
      </c>
      <c r="N16" s="20">
        <f>SUM(N12*5)</f>
        <v>798.25</v>
      </c>
      <c r="O16" s="20">
        <f>SUM(O12*5)</f>
        <v>568.15</v>
      </c>
      <c r="P16" s="131">
        <f>SUM(P12*5)</f>
        <v>230.10000000000002</v>
      </c>
      <c r="Q16" s="165">
        <f>SUM(Q12*5)</f>
        <v>568.15</v>
      </c>
    </row>
    <row r="17" spans="1:17" x14ac:dyDescent="0.25">
      <c r="A17" s="176"/>
      <c r="B17" s="44"/>
      <c r="C17" s="45"/>
      <c r="D17" s="45"/>
      <c r="E17" s="182"/>
      <c r="F17" s="48"/>
      <c r="G17" s="48"/>
      <c r="H17" s="48"/>
      <c r="I17" s="48"/>
      <c r="J17" s="49"/>
      <c r="K17" s="50"/>
      <c r="L17" s="107"/>
      <c r="M17" s="137">
        <v>6</v>
      </c>
      <c r="N17" s="20">
        <f>SUM(N12*6)</f>
        <v>957.90000000000009</v>
      </c>
      <c r="O17" s="20">
        <f>SUM(O12*6)</f>
        <v>681.78</v>
      </c>
      <c r="P17" s="131">
        <f>SUM(P12*6)</f>
        <v>276.12</v>
      </c>
      <c r="Q17" s="165">
        <f>SUM(Q12*6)</f>
        <v>681.78</v>
      </c>
    </row>
    <row r="18" spans="1:17" x14ac:dyDescent="0.25">
      <c r="A18" s="178">
        <v>3</v>
      </c>
      <c r="B18" s="51">
        <f>SUM(J35)</f>
        <v>4588.5527999999995</v>
      </c>
      <c r="C18" s="30">
        <v>1319</v>
      </c>
      <c r="D18" s="31">
        <f>SUM(D35)*30.42</f>
        <v>79.700400000000002</v>
      </c>
      <c r="E18" s="179">
        <f>SUM(B18-C18)</f>
        <v>3269.5527999999995</v>
      </c>
      <c r="F18" s="34">
        <f>SUM(B35+D35)*30.42</f>
        <v>3268.3248000000003</v>
      </c>
      <c r="G18" s="34">
        <f>SUM(F18-C18)</f>
        <v>1949.3248000000003</v>
      </c>
      <c r="H18" s="34">
        <f>SUM(G18*75)/100</f>
        <v>1461.9936000000002</v>
      </c>
      <c r="I18" s="34">
        <f>SUM(E18-H18)</f>
        <v>1807.5591999999992</v>
      </c>
      <c r="J18" s="35"/>
      <c r="K18" s="52">
        <f>SUM(I18)</f>
        <v>1807.5591999999992</v>
      </c>
      <c r="L18" s="106"/>
      <c r="M18" s="137">
        <v>7</v>
      </c>
      <c r="N18" s="20">
        <f>SUM(N12*7)</f>
        <v>1117.55</v>
      </c>
      <c r="O18" s="20">
        <f>SUM(O12*7)</f>
        <v>795.41</v>
      </c>
      <c r="P18" s="131">
        <f>SUM(P12*7)</f>
        <v>322.14000000000004</v>
      </c>
      <c r="Q18" s="165">
        <f>SUM(Q12*7)</f>
        <v>795.41</v>
      </c>
    </row>
    <row r="19" spans="1:17" ht="15.75" thickBot="1" x14ac:dyDescent="0.3">
      <c r="A19" s="180"/>
      <c r="B19" s="38"/>
      <c r="C19" s="39"/>
      <c r="D19" s="39"/>
      <c r="E19" s="181"/>
      <c r="F19" s="42"/>
      <c r="G19" s="42"/>
      <c r="H19" s="42"/>
      <c r="I19" s="42"/>
      <c r="J19" s="43"/>
      <c r="K19" s="4"/>
      <c r="L19" s="107"/>
      <c r="M19" s="137">
        <v>8</v>
      </c>
      <c r="N19" s="20">
        <f>SUM(N12*8)</f>
        <v>1277.2</v>
      </c>
      <c r="O19" s="20">
        <f>SUM(O12*8)</f>
        <v>909.04</v>
      </c>
      <c r="P19" s="131">
        <f>SUM(P12*8)</f>
        <v>368.16</v>
      </c>
      <c r="Q19" s="165">
        <f>SUM(Q12*8)</f>
        <v>909.04</v>
      </c>
    </row>
    <row r="20" spans="1:17" x14ac:dyDescent="0.25">
      <c r="A20" s="176"/>
      <c r="B20" s="44"/>
      <c r="C20" s="45"/>
      <c r="D20" s="45"/>
      <c r="E20" s="182"/>
      <c r="F20" s="48"/>
      <c r="G20" s="48"/>
      <c r="H20" s="48"/>
      <c r="I20" s="48"/>
      <c r="J20" s="49"/>
      <c r="K20" s="50"/>
      <c r="L20" s="107"/>
      <c r="M20" s="137">
        <v>9</v>
      </c>
      <c r="N20" s="20">
        <f>SUM(N12*9)</f>
        <v>1436.8500000000001</v>
      </c>
      <c r="O20" s="20">
        <f>SUM(O12*9)</f>
        <v>1022.67</v>
      </c>
      <c r="P20" s="131">
        <f>SUM(P12*9)</f>
        <v>414.18</v>
      </c>
      <c r="Q20" s="165">
        <f>SUM(Q12*9)</f>
        <v>1022.67</v>
      </c>
    </row>
    <row r="21" spans="1:17" x14ac:dyDescent="0.25">
      <c r="A21" s="178">
        <v>4</v>
      </c>
      <c r="B21" s="51">
        <f>SUM(J36)</f>
        <v>5124.5532000000003</v>
      </c>
      <c r="C21" s="30">
        <v>1855</v>
      </c>
      <c r="D21" s="31">
        <f>SUM(D36)*30.42</f>
        <v>79.700400000000002</v>
      </c>
      <c r="E21" s="179">
        <f>SUM(B21-C21)</f>
        <v>3269.5532000000003</v>
      </c>
      <c r="F21" s="34">
        <f>SUM(B36+D36)*30.42</f>
        <v>3804.3252000000002</v>
      </c>
      <c r="G21" s="34">
        <f>SUM(F21-C21)</f>
        <v>1949.3252000000002</v>
      </c>
      <c r="H21" s="34">
        <f>SUM(G21*75)/100</f>
        <v>1461.9939000000002</v>
      </c>
      <c r="I21" s="34">
        <f>SUM(E21-H21)</f>
        <v>1807.5593000000001</v>
      </c>
      <c r="J21" s="35"/>
      <c r="K21" s="52">
        <f>SUM(I21)</f>
        <v>1807.5593000000001</v>
      </c>
      <c r="L21" s="106"/>
      <c r="M21" s="137">
        <v>10</v>
      </c>
      <c r="N21" s="20">
        <f>SUM(N12*10)</f>
        <v>1596.5</v>
      </c>
      <c r="O21" s="20">
        <f>SUM(O12*10)</f>
        <v>1136.3</v>
      </c>
      <c r="P21" s="131">
        <f>SUM(P12*10)</f>
        <v>460.20000000000005</v>
      </c>
      <c r="Q21" s="165">
        <f>SUM(Q12*10)</f>
        <v>1136.3</v>
      </c>
    </row>
    <row r="22" spans="1:17" ht="15.75" thickBot="1" x14ac:dyDescent="0.3">
      <c r="A22" s="180"/>
      <c r="B22" s="38"/>
      <c r="C22" s="39"/>
      <c r="D22" s="39"/>
      <c r="E22" s="181"/>
      <c r="F22" s="42"/>
      <c r="G22" s="42"/>
      <c r="H22" s="42"/>
      <c r="I22" s="42"/>
      <c r="J22" s="43"/>
      <c r="K22" s="4"/>
      <c r="L22" s="107"/>
      <c r="M22" s="137">
        <v>11</v>
      </c>
      <c r="N22" s="20">
        <f>SUM(N12*11)</f>
        <v>1756.15</v>
      </c>
      <c r="O22" s="20">
        <f>SUM(O12*11)</f>
        <v>1249.9299999999998</v>
      </c>
      <c r="P22" s="131">
        <f>SUM(P12*11)</f>
        <v>506.22</v>
      </c>
      <c r="Q22" s="165">
        <f>SUM(Q12*11)</f>
        <v>1249.9299999999998</v>
      </c>
    </row>
    <row r="23" spans="1:17" x14ac:dyDescent="0.25">
      <c r="A23" s="176"/>
      <c r="B23" s="44"/>
      <c r="C23" s="45"/>
      <c r="D23" s="45"/>
      <c r="E23" s="182"/>
      <c r="F23" s="48"/>
      <c r="G23" s="48"/>
      <c r="H23" s="48"/>
      <c r="I23" s="48"/>
      <c r="J23" s="49"/>
      <c r="K23" s="50"/>
      <c r="L23" s="107"/>
      <c r="M23" s="137">
        <v>12</v>
      </c>
      <c r="N23" s="20">
        <f>SUM(N12*12)</f>
        <v>1915.8000000000002</v>
      </c>
      <c r="O23" s="20">
        <f>SUM(O12*12)</f>
        <v>1363.56</v>
      </c>
      <c r="P23" s="131">
        <f>SUM(P12*12)</f>
        <v>552.24</v>
      </c>
      <c r="Q23" s="165">
        <f>SUM(Q12*12)</f>
        <v>1363.56</v>
      </c>
    </row>
    <row r="24" spans="1:17" x14ac:dyDescent="0.25">
      <c r="A24" s="178">
        <v>5</v>
      </c>
      <c r="B24" s="51">
        <f>SUM(J37)</f>
        <v>5365.4796000000006</v>
      </c>
      <c r="C24" s="30">
        <v>2096</v>
      </c>
      <c r="D24" s="31">
        <f>SUM(D37)*30.42</f>
        <v>79.700400000000002</v>
      </c>
      <c r="E24" s="179">
        <f>SUM(B24-C24)</f>
        <v>3269.4796000000006</v>
      </c>
      <c r="F24" s="34">
        <f>SUM(B37+D37)*30.42</f>
        <v>4045.251600000001</v>
      </c>
      <c r="G24" s="34">
        <f>SUM(F24-C24)</f>
        <v>1949.251600000001</v>
      </c>
      <c r="H24" s="34">
        <f>SUM(G24*75)/100</f>
        <v>1461.9387000000008</v>
      </c>
      <c r="I24" s="34">
        <f>SUM(E24-H24)</f>
        <v>1807.5408999999997</v>
      </c>
      <c r="J24" s="35"/>
      <c r="K24" s="52">
        <f>SUM(I24)</f>
        <v>1807.5408999999997</v>
      </c>
      <c r="L24" s="106"/>
      <c r="M24" s="137">
        <v>13</v>
      </c>
      <c r="N24" s="20">
        <f>SUM(N12*13)</f>
        <v>2075.4500000000003</v>
      </c>
      <c r="O24" s="20">
        <f>SUM(O12*13)</f>
        <v>1477.19</v>
      </c>
      <c r="P24" s="131">
        <f>SUM(P12*13)</f>
        <v>598.26</v>
      </c>
      <c r="Q24" s="165">
        <f>SUM(Q12*13)</f>
        <v>1477.19</v>
      </c>
    </row>
    <row r="25" spans="1:17" ht="15.75" thickBot="1" x14ac:dyDescent="0.3">
      <c r="A25" s="180"/>
      <c r="B25" s="53"/>
      <c r="C25" s="120"/>
      <c r="D25" s="54"/>
      <c r="E25" s="183"/>
      <c r="F25" s="55"/>
      <c r="G25" s="55"/>
      <c r="H25" s="55"/>
      <c r="I25" s="55"/>
      <c r="J25" s="56"/>
      <c r="K25" s="4"/>
      <c r="L25" s="107"/>
      <c r="M25" s="137">
        <v>14</v>
      </c>
      <c r="N25" s="20">
        <f>SUM(N12*14)</f>
        <v>2235.1</v>
      </c>
      <c r="O25" s="20">
        <f>SUM(O12*14)</f>
        <v>1590.82</v>
      </c>
      <c r="P25" s="131">
        <f>SUM(P12*14)</f>
        <v>644.28000000000009</v>
      </c>
      <c r="Q25" s="165">
        <f>SUM(Q12*14)</f>
        <v>1590.82</v>
      </c>
    </row>
    <row r="26" spans="1:17" x14ac:dyDescent="0.25">
      <c r="A26" s="176"/>
      <c r="B26" s="44"/>
      <c r="C26" s="160"/>
      <c r="D26" s="44"/>
      <c r="E26" s="182"/>
      <c r="F26" s="48"/>
      <c r="G26" s="48"/>
      <c r="H26" s="48"/>
      <c r="I26" s="48"/>
      <c r="J26" s="49"/>
      <c r="K26" s="50"/>
      <c r="L26" s="107"/>
      <c r="M26" s="137">
        <v>15</v>
      </c>
      <c r="N26" s="20">
        <f>SUM(N12*15)</f>
        <v>2394.75</v>
      </c>
      <c r="O26" s="20">
        <f>SUM(O12*15)</f>
        <v>1704.4499999999998</v>
      </c>
      <c r="P26" s="131">
        <f>SUM(P12*15)</f>
        <v>690.30000000000007</v>
      </c>
      <c r="Q26" s="165">
        <f>SUM(Q12*15)</f>
        <v>1704.4499999999998</v>
      </c>
    </row>
    <row r="27" spans="1:17" x14ac:dyDescent="0.25">
      <c r="A27" s="178" t="s">
        <v>13</v>
      </c>
      <c r="B27" s="30">
        <v>113.63</v>
      </c>
      <c r="C27" s="161">
        <v>1854</v>
      </c>
      <c r="D27" s="159">
        <v>2.62</v>
      </c>
      <c r="E27" s="179"/>
      <c r="F27" s="34"/>
      <c r="G27" s="34"/>
      <c r="H27" s="34"/>
      <c r="I27" s="34"/>
      <c r="J27" s="35"/>
      <c r="K27" s="57"/>
      <c r="L27" s="107"/>
      <c r="M27" s="138">
        <v>16</v>
      </c>
      <c r="N27" s="111">
        <f>SUM(N12*16)</f>
        <v>2554.4</v>
      </c>
      <c r="O27" s="111">
        <f>SUM(O12*16)</f>
        <v>1818.08</v>
      </c>
      <c r="P27" s="132">
        <f>SUM(P12*16)</f>
        <v>736.32</v>
      </c>
      <c r="Q27" s="165">
        <f>SUM(Q12*16)</f>
        <v>1818.08</v>
      </c>
    </row>
    <row r="28" spans="1:17" ht="15.75" thickBot="1" x14ac:dyDescent="0.3">
      <c r="A28" s="184" t="s">
        <v>46</v>
      </c>
      <c r="B28" s="185"/>
      <c r="C28" s="162">
        <v>1685</v>
      </c>
      <c r="D28" s="185"/>
      <c r="E28" s="186"/>
      <c r="F28" s="55"/>
      <c r="G28" s="55"/>
      <c r="H28" s="55"/>
      <c r="I28" s="55"/>
      <c r="J28" s="56"/>
      <c r="K28" s="4"/>
      <c r="L28" s="107"/>
      <c r="M28" s="166">
        <v>17</v>
      </c>
      <c r="N28" s="167">
        <f>SUM(N12*17)</f>
        <v>2714.05</v>
      </c>
      <c r="O28" s="167">
        <f>SUM(O12*17)</f>
        <v>1931.71</v>
      </c>
      <c r="P28" s="168">
        <v>853.93</v>
      </c>
      <c r="Q28" s="169">
        <v>1854</v>
      </c>
    </row>
    <row r="29" spans="1:17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M29" s="126"/>
      <c r="N29" s="51"/>
      <c r="O29" s="51"/>
      <c r="P29" s="129"/>
    </row>
    <row r="30" spans="1:17" x14ac:dyDescent="0.25">
      <c r="M30" s="126"/>
      <c r="N30" s="51"/>
      <c r="O30" s="51"/>
      <c r="P30" s="129" t="s">
        <v>47</v>
      </c>
    </row>
    <row r="31" spans="1:17" x14ac:dyDescent="0.25">
      <c r="A31" s="5" t="s">
        <v>20</v>
      </c>
      <c r="B31" s="71"/>
      <c r="C31" s="71"/>
      <c r="D31" s="71"/>
      <c r="E31" s="72"/>
      <c r="F31" s="73"/>
      <c r="G31" s="12"/>
      <c r="H31" s="12"/>
      <c r="I31" s="12"/>
      <c r="J31" s="12"/>
      <c r="K31" s="12"/>
      <c r="M31" s="126"/>
      <c r="N31" s="51"/>
      <c r="O31" s="51"/>
      <c r="P31" s="129"/>
    </row>
    <row r="32" spans="1:17" x14ac:dyDescent="0.25">
      <c r="A32" s="272" t="s">
        <v>21</v>
      </c>
      <c r="B32" s="272" t="s">
        <v>22</v>
      </c>
      <c r="C32" s="272" t="s">
        <v>23</v>
      </c>
      <c r="D32" s="60" t="s">
        <v>5</v>
      </c>
      <c r="E32" s="273" t="s">
        <v>24</v>
      </c>
      <c r="F32" s="274" t="s">
        <v>25</v>
      </c>
      <c r="G32" s="272" t="s">
        <v>26</v>
      </c>
      <c r="H32" s="272" t="s">
        <v>27</v>
      </c>
      <c r="I32" s="59"/>
      <c r="J32" s="59"/>
      <c r="M32" s="126"/>
      <c r="N32" s="51"/>
      <c r="O32" s="51"/>
      <c r="P32" s="129"/>
    </row>
    <row r="33" spans="1:17" x14ac:dyDescent="0.25">
      <c r="A33" s="272"/>
      <c r="B33" s="272"/>
      <c r="C33" s="272"/>
      <c r="D33" s="60" t="s">
        <v>28</v>
      </c>
      <c r="E33" s="273"/>
      <c r="F33" s="274"/>
      <c r="G33" s="272"/>
      <c r="H33" s="272"/>
      <c r="I33" s="59"/>
      <c r="J33" s="59"/>
      <c r="M33" s="126"/>
      <c r="N33" s="51"/>
      <c r="O33" s="51"/>
      <c r="P33" s="129"/>
    </row>
    <row r="34" spans="1:17" x14ac:dyDescent="0.25">
      <c r="A34" s="61">
        <v>2</v>
      </c>
      <c r="B34" s="62">
        <v>87.92</v>
      </c>
      <c r="C34" s="63">
        <v>16.77</v>
      </c>
      <c r="D34" s="63">
        <v>2.62</v>
      </c>
      <c r="E34" s="64">
        <v>11.18</v>
      </c>
      <c r="F34" s="65">
        <v>15.45</v>
      </c>
      <c r="G34" s="65"/>
      <c r="H34" s="63"/>
      <c r="I34" s="67">
        <f>SUM(B34:F34)</f>
        <v>133.94</v>
      </c>
      <c r="J34" s="67">
        <f>SUM(I34)*30.42</f>
        <v>4074.4548</v>
      </c>
      <c r="L34" s="13"/>
      <c r="M34" s="126"/>
      <c r="N34" s="51"/>
      <c r="O34" s="51"/>
      <c r="P34" s="129"/>
    </row>
    <row r="35" spans="1:17" x14ac:dyDescent="0.25">
      <c r="A35" s="68">
        <v>3</v>
      </c>
      <c r="B35" s="69">
        <v>104.82</v>
      </c>
      <c r="C35" s="63">
        <v>16.77</v>
      </c>
      <c r="D35" s="63">
        <v>2.62</v>
      </c>
      <c r="E35" s="64">
        <v>11.18</v>
      </c>
      <c r="F35" s="65">
        <v>15.45</v>
      </c>
      <c r="G35" s="65"/>
      <c r="H35" s="63"/>
      <c r="I35" s="67">
        <f>SUM(B35:F35)</f>
        <v>150.83999999999997</v>
      </c>
      <c r="J35" s="67">
        <f>SUM(I35)*30.42</f>
        <v>4588.5527999999995</v>
      </c>
      <c r="L35" s="13"/>
      <c r="M35" s="126"/>
      <c r="N35" s="51"/>
      <c r="O35" s="51"/>
      <c r="P35" s="129"/>
    </row>
    <row r="36" spans="1:17" x14ac:dyDescent="0.25">
      <c r="A36" s="68">
        <v>4</v>
      </c>
      <c r="B36" s="69">
        <v>122.44</v>
      </c>
      <c r="C36" s="63">
        <v>16.77</v>
      </c>
      <c r="D36" s="63">
        <v>2.62</v>
      </c>
      <c r="E36" s="64">
        <v>11.18</v>
      </c>
      <c r="F36" s="65">
        <v>15.45</v>
      </c>
      <c r="G36" s="65"/>
      <c r="H36" s="63"/>
      <c r="I36" s="67">
        <f>SUM(B36:F36)</f>
        <v>168.46</v>
      </c>
      <c r="J36" s="67">
        <f>SUM(I36)*30.42</f>
        <v>5124.5532000000003</v>
      </c>
      <c r="L36" s="13"/>
      <c r="M36" s="126"/>
      <c r="N36" s="51"/>
      <c r="O36" s="51"/>
      <c r="P36" s="129"/>
    </row>
    <row r="37" spans="1:17" x14ac:dyDescent="0.25">
      <c r="A37" s="68">
        <v>5</v>
      </c>
      <c r="B37" s="69">
        <v>130.36000000000001</v>
      </c>
      <c r="C37" s="63">
        <v>16.77</v>
      </c>
      <c r="D37" s="63">
        <v>2.62</v>
      </c>
      <c r="E37" s="64">
        <v>11.18</v>
      </c>
      <c r="F37" s="65">
        <v>15.45</v>
      </c>
      <c r="G37" s="65"/>
      <c r="H37" s="63"/>
      <c r="I37" s="67">
        <f>SUM(B37:F37)</f>
        <v>176.38000000000002</v>
      </c>
      <c r="J37" s="67">
        <f>SUM(I37)*30.42</f>
        <v>5365.4796000000006</v>
      </c>
      <c r="L37" s="13"/>
      <c r="M37" s="126"/>
      <c r="N37" s="51"/>
      <c r="O37" s="51"/>
      <c r="P37" s="129"/>
    </row>
    <row r="38" spans="1:17" x14ac:dyDescent="0.25">
      <c r="A38" s="70" t="s">
        <v>13</v>
      </c>
      <c r="B38" s="69">
        <v>113.63</v>
      </c>
      <c r="C38" s="63">
        <v>16.77</v>
      </c>
      <c r="D38" s="63">
        <v>2.62</v>
      </c>
      <c r="E38" s="64">
        <v>11.18</v>
      </c>
      <c r="F38" s="65">
        <v>15.45</v>
      </c>
      <c r="G38" s="65"/>
      <c r="H38" s="63"/>
      <c r="I38" s="67">
        <f>SUM(B38:F38)</f>
        <v>159.65</v>
      </c>
      <c r="J38" s="67">
        <f>SUM(I38)*23</f>
        <v>3671.9500000000003</v>
      </c>
      <c r="L38" s="13"/>
      <c r="M38" s="126"/>
      <c r="N38" s="51"/>
      <c r="O38" s="51"/>
      <c r="P38" s="129"/>
    </row>
    <row r="39" spans="1:17" x14ac:dyDescent="0.25">
      <c r="A39" s="7"/>
      <c r="B39" s="8"/>
      <c r="C39" s="9"/>
      <c r="D39" s="9"/>
      <c r="E39" s="10"/>
      <c r="F39" s="10"/>
      <c r="G39" s="10"/>
      <c r="H39" s="10"/>
      <c r="I39" s="10"/>
      <c r="J39" s="10"/>
      <c r="K39" s="6"/>
      <c r="L39" s="6"/>
      <c r="M39" s="127"/>
      <c r="N39" s="128"/>
      <c r="O39" s="128"/>
      <c r="P39" s="129"/>
    </row>
    <row r="40" spans="1:17" x14ac:dyDescent="0.25">
      <c r="A40" s="11" t="s">
        <v>29</v>
      </c>
      <c r="B40" s="12" t="s">
        <v>49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5">
      <c r="A41" s="11" t="s">
        <v>29</v>
      </c>
      <c r="B41" s="12" t="s">
        <v>30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1" t="s">
        <v>29</v>
      </c>
      <c r="B42" s="12" t="s">
        <v>44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1" t="s">
        <v>29</v>
      </c>
      <c r="B43" s="12" t="s">
        <v>45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7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</sheetData>
  <mergeCells count="8">
    <mergeCell ref="K12:K13"/>
    <mergeCell ref="H32:H33"/>
    <mergeCell ref="A32:A33"/>
    <mergeCell ref="B32:B33"/>
    <mergeCell ref="C32:C33"/>
    <mergeCell ref="E32:E33"/>
    <mergeCell ref="F32:F33"/>
    <mergeCell ref="G32:G33"/>
  </mergeCells>
  <pageMargins left="1.0416666666666666E-2" right="0.7" top="0.78740157499999996" bottom="0.78740157499999996" header="0.3" footer="0.3"/>
  <pageSetup paperSize="9" orientation="portrait" r:id="rId1"/>
  <headerFooter>
    <oddFooter>&amp;LStand: 01.01.2024&amp;RFreigabe: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01.01.25 </vt:lpstr>
      <vt:lpstr>01.01.25 15% (2)</vt:lpstr>
      <vt:lpstr>01.09.2025 30% (2)</vt:lpstr>
      <vt:lpstr>01.09.2025 50%  (2)</vt:lpstr>
      <vt:lpstr>01.01.2025 75%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Voigtritter Katrin</dc:creator>
  <cp:lastModifiedBy>Herzog Nicole</cp:lastModifiedBy>
  <cp:lastPrinted>2024-12-13T10:05:33Z</cp:lastPrinted>
  <dcterms:created xsi:type="dcterms:W3CDTF">2022-09-13T09:47:26Z</dcterms:created>
  <dcterms:modified xsi:type="dcterms:W3CDTF">2025-08-04T10:01:20Z</dcterms:modified>
</cp:coreProperties>
</file>