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herzog\Desktop\"/>
    </mc:Choice>
  </mc:AlternateContent>
  <xr:revisionPtr revIDLastSave="0" documentId="13_ncr:1_{98BF2CEA-5E62-40B8-959F-A34D0C3007FF}" xr6:coauthVersionLast="47" xr6:coauthVersionMax="47" xr10:uidLastSave="{00000000-0000-0000-0000-000000000000}"/>
  <bookViews>
    <workbookView xWindow="-28920" yWindow="-3720" windowWidth="29040" windowHeight="15720" activeTab="1" xr2:uid="{02CC2383-8B50-43CD-9134-62ECA5116386}"/>
  </bookViews>
  <sheets>
    <sheet name="01.01.26 " sheetId="12" r:id="rId1"/>
    <sheet name="01.01.26 15% (2)" sheetId="6" r:id="rId2"/>
    <sheet name="01.09.2026 30% (2)" sheetId="7" r:id="rId3"/>
    <sheet name="01.09.2026 50%  (2)" sheetId="8" r:id="rId4"/>
    <sheet name="01.01.2026 75%  (3)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" l="1"/>
  <c r="E25" i="6"/>
  <c r="E19" i="6"/>
  <c r="E16" i="6"/>
  <c r="E28" i="12"/>
  <c r="P41" i="6"/>
  <c r="N41" i="6"/>
  <c r="P40" i="6"/>
  <c r="I27" i="7"/>
  <c r="I27" i="8"/>
  <c r="J27" i="7"/>
  <c r="E28" i="6"/>
  <c r="N41" i="12"/>
  <c r="P41" i="12" s="1"/>
  <c r="P40" i="12"/>
  <c r="O40" i="12"/>
  <c r="N40" i="12"/>
  <c r="P39" i="12"/>
  <c r="O39" i="12"/>
  <c r="N39" i="12"/>
  <c r="P38" i="12"/>
  <c r="O38" i="12"/>
  <c r="N38" i="12"/>
  <c r="P37" i="12"/>
  <c r="O37" i="12"/>
  <c r="N37" i="12"/>
  <c r="P36" i="12"/>
  <c r="O36" i="12"/>
  <c r="N36" i="12"/>
  <c r="P35" i="12"/>
  <c r="O35" i="12"/>
  <c r="N35" i="12"/>
  <c r="P34" i="12"/>
  <c r="O34" i="12"/>
  <c r="N34" i="12"/>
  <c r="P33" i="12"/>
  <c r="O33" i="12"/>
  <c r="N33" i="12"/>
  <c r="P32" i="12"/>
  <c r="O32" i="12"/>
  <c r="N32" i="12"/>
  <c r="P31" i="12"/>
  <c r="O31" i="12"/>
  <c r="N31" i="12"/>
  <c r="P30" i="12"/>
  <c r="O30" i="12"/>
  <c r="N30" i="12"/>
  <c r="N29" i="12"/>
  <c r="P28" i="12"/>
  <c r="O28" i="12"/>
  <c r="N28" i="12"/>
  <c r="P27" i="12"/>
  <c r="O27" i="12"/>
  <c r="N27" i="12"/>
  <c r="P26" i="12"/>
  <c r="O26" i="12"/>
  <c r="N26" i="12"/>
  <c r="P25" i="12"/>
  <c r="O25" i="12"/>
  <c r="N25" i="12"/>
  <c r="P24" i="12"/>
  <c r="O24" i="12"/>
  <c r="N24" i="12"/>
  <c r="P23" i="12"/>
  <c r="O23" i="12"/>
  <c r="N23" i="12"/>
  <c r="P22" i="12"/>
  <c r="O22" i="12"/>
  <c r="N22" i="12"/>
  <c r="P21" i="12"/>
  <c r="O21" i="12"/>
  <c r="N21" i="12"/>
  <c r="P20" i="12"/>
  <c r="O20" i="12"/>
  <c r="N20" i="12"/>
  <c r="P19" i="12"/>
  <c r="O19" i="12"/>
  <c r="N19" i="12"/>
  <c r="P18" i="12"/>
  <c r="O18" i="12"/>
  <c r="N18" i="12"/>
  <c r="P17" i="12"/>
  <c r="O17" i="12"/>
  <c r="N17" i="12"/>
  <c r="P16" i="12"/>
  <c r="O16" i="12"/>
  <c r="N16" i="12"/>
  <c r="P15" i="12"/>
  <c r="O15" i="12"/>
  <c r="N15" i="12"/>
  <c r="P14" i="12"/>
  <c r="O14" i="12"/>
  <c r="N14" i="12"/>
  <c r="O40" i="6"/>
  <c r="N40" i="6"/>
  <c r="P39" i="6"/>
  <c r="O39" i="6"/>
  <c r="N39" i="6"/>
  <c r="P38" i="6"/>
  <c r="O38" i="6"/>
  <c r="N38" i="6"/>
  <c r="P37" i="6"/>
  <c r="O37" i="6"/>
  <c r="N37" i="6"/>
  <c r="P36" i="6"/>
  <c r="O36" i="6"/>
  <c r="N36" i="6"/>
  <c r="P35" i="6"/>
  <c r="O35" i="6"/>
  <c r="N35" i="6"/>
  <c r="P34" i="6"/>
  <c r="O34" i="6"/>
  <c r="N34" i="6"/>
  <c r="P33" i="6"/>
  <c r="O33" i="6"/>
  <c r="N33" i="6"/>
  <c r="P32" i="6"/>
  <c r="O32" i="6"/>
  <c r="N32" i="6"/>
  <c r="P31" i="6"/>
  <c r="O31" i="6"/>
  <c r="N31" i="6"/>
  <c r="P30" i="6"/>
  <c r="O30" i="6"/>
  <c r="N30" i="6"/>
  <c r="P29" i="6"/>
  <c r="O29" i="6"/>
  <c r="N29" i="6"/>
  <c r="N28" i="6"/>
  <c r="P27" i="6"/>
  <c r="O27" i="6"/>
  <c r="N27" i="6"/>
  <c r="P26" i="6"/>
  <c r="O26" i="6"/>
  <c r="N26" i="6"/>
  <c r="P25" i="6"/>
  <c r="O25" i="6"/>
  <c r="N25" i="6"/>
  <c r="P24" i="6"/>
  <c r="O24" i="6"/>
  <c r="N24" i="6"/>
  <c r="P23" i="6"/>
  <c r="O23" i="6"/>
  <c r="N23" i="6"/>
  <c r="P22" i="6"/>
  <c r="O22" i="6"/>
  <c r="N22" i="6"/>
  <c r="P21" i="6"/>
  <c r="O21" i="6"/>
  <c r="N21" i="6"/>
  <c r="P20" i="6"/>
  <c r="O20" i="6"/>
  <c r="N20" i="6"/>
  <c r="P19" i="6"/>
  <c r="O19" i="6"/>
  <c r="N19" i="6"/>
  <c r="P18" i="6"/>
  <c r="O18" i="6"/>
  <c r="N18" i="6"/>
  <c r="P17" i="6"/>
  <c r="O17" i="6"/>
  <c r="N17" i="6"/>
  <c r="P16" i="6"/>
  <c r="O16" i="6"/>
  <c r="N16" i="6"/>
  <c r="P15" i="6"/>
  <c r="O15" i="6"/>
  <c r="N15" i="6"/>
  <c r="P14" i="6"/>
  <c r="O14" i="6"/>
  <c r="N14" i="6"/>
  <c r="P13" i="6"/>
  <c r="O13" i="6"/>
  <c r="N13" i="6"/>
  <c r="P40" i="7"/>
  <c r="N40" i="7"/>
  <c r="P39" i="7"/>
  <c r="O39" i="7"/>
  <c r="N39" i="7"/>
  <c r="P38" i="7"/>
  <c r="O38" i="7"/>
  <c r="N38" i="7"/>
  <c r="P37" i="7"/>
  <c r="O37" i="7"/>
  <c r="N37" i="7"/>
  <c r="P36" i="7"/>
  <c r="O36" i="7"/>
  <c r="N36" i="7"/>
  <c r="P35" i="7"/>
  <c r="O35" i="7"/>
  <c r="N35" i="7"/>
  <c r="P34" i="7"/>
  <c r="O34" i="7"/>
  <c r="N34" i="7"/>
  <c r="P33" i="7"/>
  <c r="O33" i="7"/>
  <c r="N33" i="7"/>
  <c r="P32" i="7"/>
  <c r="O32" i="7"/>
  <c r="N32" i="7"/>
  <c r="P31" i="7"/>
  <c r="O31" i="7"/>
  <c r="N31" i="7"/>
  <c r="P30" i="7"/>
  <c r="O30" i="7"/>
  <c r="N30" i="7"/>
  <c r="P29" i="7"/>
  <c r="O29" i="7"/>
  <c r="N29" i="7"/>
  <c r="N28" i="7"/>
  <c r="P27" i="7"/>
  <c r="O27" i="7"/>
  <c r="N27" i="7"/>
  <c r="P26" i="7"/>
  <c r="O26" i="7"/>
  <c r="N26" i="7"/>
  <c r="P25" i="7"/>
  <c r="O25" i="7"/>
  <c r="N25" i="7"/>
  <c r="P24" i="7"/>
  <c r="O24" i="7"/>
  <c r="N24" i="7"/>
  <c r="P23" i="7"/>
  <c r="O23" i="7"/>
  <c r="N23" i="7"/>
  <c r="P22" i="7"/>
  <c r="O22" i="7"/>
  <c r="N22" i="7"/>
  <c r="P21" i="7"/>
  <c r="O21" i="7"/>
  <c r="N21" i="7"/>
  <c r="P20" i="7"/>
  <c r="O20" i="7"/>
  <c r="N20" i="7"/>
  <c r="P19" i="7"/>
  <c r="O19" i="7"/>
  <c r="N19" i="7"/>
  <c r="P18" i="7"/>
  <c r="O18" i="7"/>
  <c r="N18" i="7"/>
  <c r="P17" i="7"/>
  <c r="O17" i="7"/>
  <c r="N17" i="7"/>
  <c r="P16" i="7"/>
  <c r="O16" i="7"/>
  <c r="N16" i="7"/>
  <c r="P15" i="7"/>
  <c r="O15" i="7"/>
  <c r="N15" i="7"/>
  <c r="P14" i="7"/>
  <c r="O14" i="7"/>
  <c r="N14" i="7"/>
  <c r="P13" i="7"/>
  <c r="O13" i="7"/>
  <c r="N13" i="7"/>
  <c r="N40" i="11"/>
  <c r="J38" i="11" s="1"/>
  <c r="P39" i="11"/>
  <c r="O39" i="11"/>
  <c r="N39" i="11"/>
  <c r="P38" i="11"/>
  <c r="O38" i="11"/>
  <c r="N38" i="11"/>
  <c r="P36" i="11"/>
  <c r="P37" i="11"/>
  <c r="O37" i="11"/>
  <c r="N37" i="11"/>
  <c r="O36" i="11"/>
  <c r="N36" i="11"/>
  <c r="P35" i="11"/>
  <c r="O35" i="11"/>
  <c r="N35" i="11"/>
  <c r="P34" i="11"/>
  <c r="O34" i="11"/>
  <c r="N34" i="11"/>
  <c r="N13" i="11"/>
  <c r="O13" i="11"/>
  <c r="P13" i="11"/>
  <c r="N14" i="11"/>
  <c r="O14" i="11"/>
  <c r="P14" i="11"/>
  <c r="N15" i="11"/>
  <c r="O15" i="11"/>
  <c r="P15" i="11"/>
  <c r="N16" i="11"/>
  <c r="O16" i="11"/>
  <c r="P16" i="11"/>
  <c r="N17" i="11"/>
  <c r="O17" i="11"/>
  <c r="P17" i="11"/>
  <c r="N18" i="11"/>
  <c r="O18" i="11"/>
  <c r="P18" i="11"/>
  <c r="N19" i="11"/>
  <c r="O19" i="11"/>
  <c r="P19" i="11"/>
  <c r="N20" i="11"/>
  <c r="O20" i="11"/>
  <c r="P20" i="11"/>
  <c r="N21" i="11"/>
  <c r="O21" i="11"/>
  <c r="P21" i="11"/>
  <c r="N22" i="11"/>
  <c r="O22" i="11"/>
  <c r="P22" i="11"/>
  <c r="N23" i="11"/>
  <c r="O23" i="11"/>
  <c r="P23" i="11"/>
  <c r="N24" i="11"/>
  <c r="O24" i="11"/>
  <c r="P24" i="11"/>
  <c r="N25" i="11"/>
  <c r="O25" i="11"/>
  <c r="P25" i="11"/>
  <c r="N26" i="11"/>
  <c r="O26" i="11"/>
  <c r="P26" i="11"/>
  <c r="N27" i="11"/>
  <c r="O27" i="11"/>
  <c r="P27" i="11"/>
  <c r="N28" i="11"/>
  <c r="O28" i="11"/>
  <c r="P28" i="11"/>
  <c r="N29" i="11"/>
  <c r="O29" i="11"/>
  <c r="P29" i="11"/>
  <c r="N30" i="11"/>
  <c r="O30" i="11"/>
  <c r="P30" i="11"/>
  <c r="N31" i="11"/>
  <c r="O31" i="11"/>
  <c r="P31" i="11"/>
  <c r="N32" i="11"/>
  <c r="O32" i="11"/>
  <c r="P32" i="11"/>
  <c r="N33" i="11"/>
  <c r="O33" i="11"/>
  <c r="P33" i="11"/>
  <c r="N40" i="8"/>
  <c r="P40" i="8" s="1"/>
  <c r="P39" i="8"/>
  <c r="O39" i="8"/>
  <c r="N39" i="8"/>
  <c r="P38" i="8"/>
  <c r="O38" i="8"/>
  <c r="N38" i="8"/>
  <c r="P37" i="8"/>
  <c r="O37" i="8"/>
  <c r="N37" i="8"/>
  <c r="P36" i="8"/>
  <c r="O36" i="8"/>
  <c r="N36" i="8"/>
  <c r="P35" i="8"/>
  <c r="O35" i="8"/>
  <c r="N35" i="8"/>
  <c r="P34" i="8"/>
  <c r="O34" i="8"/>
  <c r="N34" i="8"/>
  <c r="P33" i="8"/>
  <c r="O33" i="8"/>
  <c r="N33" i="8"/>
  <c r="P32" i="8"/>
  <c r="P31" i="8"/>
  <c r="O32" i="8"/>
  <c r="N32" i="8"/>
  <c r="O31" i="8"/>
  <c r="N31" i="8"/>
  <c r="P30" i="8"/>
  <c r="O30" i="8"/>
  <c r="N30" i="8"/>
  <c r="P29" i="8"/>
  <c r="O29" i="8"/>
  <c r="N29" i="8"/>
  <c r="I38" i="11"/>
  <c r="J34" i="8"/>
  <c r="J38" i="8"/>
  <c r="K38" i="8" s="1"/>
  <c r="J37" i="8"/>
  <c r="J36" i="8"/>
  <c r="J35" i="8"/>
  <c r="J37" i="7"/>
  <c r="J36" i="7"/>
  <c r="J35" i="7"/>
  <c r="J34" i="7"/>
  <c r="D25" i="12"/>
  <c r="D22" i="12"/>
  <c r="D19" i="12"/>
  <c r="D16" i="12"/>
  <c r="N28" i="8"/>
  <c r="Q27" i="8"/>
  <c r="P27" i="8"/>
  <c r="O27" i="8"/>
  <c r="N27" i="8"/>
  <c r="Q26" i="8"/>
  <c r="P26" i="8"/>
  <c r="O26" i="8"/>
  <c r="N26" i="8"/>
  <c r="Q25" i="8"/>
  <c r="P25" i="8"/>
  <c r="O25" i="8"/>
  <c r="N25" i="8"/>
  <c r="Q24" i="8"/>
  <c r="P24" i="8"/>
  <c r="O24" i="8"/>
  <c r="N24" i="8"/>
  <c r="Q23" i="8"/>
  <c r="P23" i="8"/>
  <c r="O23" i="8"/>
  <c r="N23" i="8"/>
  <c r="Q22" i="8"/>
  <c r="P22" i="8"/>
  <c r="O22" i="8"/>
  <c r="N22" i="8"/>
  <c r="Q21" i="8"/>
  <c r="P21" i="8"/>
  <c r="O21" i="8"/>
  <c r="N21" i="8"/>
  <c r="Q20" i="8"/>
  <c r="P20" i="8"/>
  <c r="O20" i="8"/>
  <c r="N20" i="8"/>
  <c r="Q19" i="8"/>
  <c r="P19" i="8"/>
  <c r="O19" i="8"/>
  <c r="N19" i="8"/>
  <c r="Q18" i="8"/>
  <c r="P18" i="8"/>
  <c r="O18" i="8"/>
  <c r="N18" i="8"/>
  <c r="Q17" i="8"/>
  <c r="P17" i="8"/>
  <c r="O17" i="8"/>
  <c r="N17" i="8"/>
  <c r="Q16" i="8"/>
  <c r="P16" i="8"/>
  <c r="O16" i="8"/>
  <c r="N16" i="8"/>
  <c r="Q15" i="8"/>
  <c r="P15" i="8"/>
  <c r="O15" i="8"/>
  <c r="N15" i="8"/>
  <c r="Q14" i="8"/>
  <c r="P14" i="8"/>
  <c r="O14" i="8"/>
  <c r="N14" i="8"/>
  <c r="Q13" i="8"/>
  <c r="P13" i="8"/>
  <c r="O13" i="8"/>
  <c r="N13" i="8"/>
  <c r="F25" i="6"/>
  <c r="F22" i="6"/>
  <c r="F19" i="6"/>
  <c r="F16" i="6"/>
  <c r="D25" i="6"/>
  <c r="D22" i="6"/>
  <c r="D19" i="6"/>
  <c r="D16" i="6"/>
  <c r="F24" i="7"/>
  <c r="F21" i="7"/>
  <c r="F18" i="7"/>
  <c r="F15" i="7"/>
  <c r="D24" i="7"/>
  <c r="D21" i="7"/>
  <c r="D18" i="7"/>
  <c r="D15" i="7"/>
  <c r="F24" i="8"/>
  <c r="F21" i="8"/>
  <c r="F18" i="8"/>
  <c r="F15" i="8"/>
  <c r="D24" i="8"/>
  <c r="D21" i="8"/>
  <c r="D18" i="8"/>
  <c r="D15" i="8"/>
  <c r="F24" i="11"/>
  <c r="F21" i="11"/>
  <c r="F18" i="11"/>
  <c r="F15" i="11"/>
  <c r="D15" i="11"/>
  <c r="D24" i="11"/>
  <c r="D21" i="11"/>
  <c r="D18" i="11"/>
  <c r="D27" i="7"/>
  <c r="D27" i="8"/>
  <c r="P40" i="11" l="1"/>
  <c r="B27" i="8"/>
  <c r="F27" i="8" s="1"/>
  <c r="I39" i="12"/>
  <c r="J39" i="12" s="1"/>
  <c r="I38" i="12"/>
  <c r="J38" i="12" s="1"/>
  <c r="B25" i="12" s="1"/>
  <c r="E25" i="12" s="1"/>
  <c r="I37" i="12"/>
  <c r="J37" i="12" s="1"/>
  <c r="B22" i="12" s="1"/>
  <c r="E22" i="12" s="1"/>
  <c r="I36" i="12"/>
  <c r="J36" i="12" s="1"/>
  <c r="B19" i="12" s="1"/>
  <c r="E19" i="12" s="1"/>
  <c r="I35" i="12"/>
  <c r="J35" i="12" s="1"/>
  <c r="B16" i="12" s="1"/>
  <c r="E16" i="12" s="1"/>
  <c r="F25" i="12"/>
  <c r="G25" i="12" s="1"/>
  <c r="F22" i="12"/>
  <c r="G22" i="12" s="1"/>
  <c r="F19" i="12"/>
  <c r="G19" i="12" s="1"/>
  <c r="F16" i="12"/>
  <c r="G16" i="12" s="1"/>
  <c r="H16" i="12" s="1"/>
  <c r="I16" i="12" s="1"/>
  <c r="I37" i="11"/>
  <c r="J37" i="11" s="1"/>
  <c r="B24" i="11" s="1"/>
  <c r="I36" i="11"/>
  <c r="J36" i="11" s="1"/>
  <c r="I35" i="11"/>
  <c r="J35" i="11" s="1"/>
  <c r="I18" i="11" s="1"/>
  <c r="I34" i="11"/>
  <c r="J34" i="11" s="1"/>
  <c r="B15" i="11" s="1"/>
  <c r="E15" i="11" s="1"/>
  <c r="G24" i="11"/>
  <c r="H24" i="11" s="1"/>
  <c r="G21" i="11"/>
  <c r="H21" i="11" s="1"/>
  <c r="E21" i="11" s="1"/>
  <c r="G18" i="11"/>
  <c r="H18" i="11" s="1"/>
  <c r="E18" i="11" s="1"/>
  <c r="G15" i="11"/>
  <c r="H15" i="11" s="1"/>
  <c r="I21" i="11" l="1"/>
  <c r="I24" i="11"/>
  <c r="E24" i="11"/>
  <c r="H22" i="12"/>
  <c r="I22" i="12" s="1"/>
  <c r="H25" i="12"/>
  <c r="I25" i="12" s="1"/>
  <c r="H19" i="12"/>
  <c r="I19" i="12" s="1"/>
  <c r="I15" i="11" l="1"/>
  <c r="K37" i="8"/>
  <c r="B24" i="8" s="1"/>
  <c r="K36" i="8"/>
  <c r="B21" i="8" s="1"/>
  <c r="K35" i="8"/>
  <c r="B18" i="8" s="1"/>
  <c r="K34" i="8"/>
  <c r="B15" i="8" s="1"/>
  <c r="J38" i="7"/>
  <c r="K38" i="7" s="1"/>
  <c r="K37" i="7"/>
  <c r="B24" i="7" s="1"/>
  <c r="K36" i="7"/>
  <c r="B21" i="7" s="1"/>
  <c r="K35" i="7"/>
  <c r="K34" i="7"/>
  <c r="B15" i="7" s="1"/>
  <c r="I39" i="6"/>
  <c r="J39" i="6" s="1"/>
  <c r="I38" i="6"/>
  <c r="J38" i="6" s="1"/>
  <c r="B25" i="6" s="1"/>
  <c r="I37" i="6"/>
  <c r="J37" i="6" s="1"/>
  <c r="B22" i="6" s="1"/>
  <c r="I36" i="6"/>
  <c r="J36" i="6" s="1"/>
  <c r="B19" i="6" s="1"/>
  <c r="I35" i="6"/>
  <c r="J35" i="6" s="1"/>
  <c r="B16" i="6" s="1"/>
  <c r="B18" i="7" l="1"/>
  <c r="E18" i="7" s="1"/>
  <c r="G18" i="8"/>
  <c r="H18" i="8" s="1"/>
  <c r="E18" i="8"/>
  <c r="E15" i="8"/>
  <c r="G15" i="8"/>
  <c r="H15" i="8" s="1"/>
  <c r="G24" i="8"/>
  <c r="H24" i="8" s="1"/>
  <c r="E24" i="8"/>
  <c r="G21" i="8"/>
  <c r="H21" i="8" s="1"/>
  <c r="E21" i="8"/>
  <c r="G18" i="7"/>
  <c r="H18" i="7" s="1"/>
  <c r="E15" i="7"/>
  <c r="G15" i="7"/>
  <c r="H15" i="7" s="1"/>
  <c r="G24" i="7"/>
  <c r="H24" i="7" s="1"/>
  <c r="E24" i="7"/>
  <c r="G21" i="7"/>
  <c r="H21" i="7" s="1"/>
  <c r="E21" i="7"/>
  <c r="G16" i="6"/>
  <c r="H16" i="6" s="1"/>
  <c r="G25" i="6"/>
  <c r="H25" i="6" s="1"/>
  <c r="G22" i="6"/>
  <c r="H22" i="6" s="1"/>
  <c r="G19" i="6"/>
  <c r="H19" i="6" s="1"/>
  <c r="I18" i="7" l="1"/>
  <c r="J18" i="7"/>
  <c r="I21" i="8"/>
  <c r="J21" i="8"/>
  <c r="I18" i="8"/>
  <c r="J18" i="8"/>
  <c r="I24" i="8"/>
  <c r="J24" i="8"/>
  <c r="I15" i="8"/>
  <c r="J15" i="8"/>
  <c r="J24" i="7"/>
  <c r="I24" i="7"/>
  <c r="J21" i="7"/>
  <c r="I21" i="7"/>
  <c r="J15" i="7"/>
  <c r="I15" i="7"/>
  <c r="F27" i="7"/>
  <c r="B27" i="11" l="1"/>
  <c r="E27" i="11" l="1"/>
  <c r="F27" i="11"/>
</calcChain>
</file>

<file path=xl/sharedStrings.xml><?xml version="1.0" encoding="utf-8"?>
<sst xmlns="http://schemas.openxmlformats.org/spreadsheetml/2006/main" count="219" uniqueCount="47">
  <si>
    <t>Monatliche Pflegekosten in Euro</t>
  </si>
  <si>
    <t>davon</t>
  </si>
  <si>
    <t>Pflege-</t>
  </si>
  <si>
    <t>Gesamt</t>
  </si>
  <si>
    <t>Anteil</t>
  </si>
  <si>
    <t>Azubi-</t>
  </si>
  <si>
    <t xml:space="preserve">Anteil </t>
  </si>
  <si>
    <t>grad</t>
  </si>
  <si>
    <t>ver-</t>
  </si>
  <si>
    <t>Bewoh-</t>
  </si>
  <si>
    <t>kasse</t>
  </si>
  <si>
    <t>gütung</t>
  </si>
  <si>
    <t>ner (in)</t>
  </si>
  <si>
    <t>KZP</t>
  </si>
  <si>
    <t xml:space="preserve">Tag </t>
  </si>
  <si>
    <t xml:space="preserve">Tages - </t>
  </si>
  <si>
    <t>satz €</t>
  </si>
  <si>
    <t xml:space="preserve"> Pflege</t>
  </si>
  <si>
    <t>Bewohner</t>
  </si>
  <si>
    <t>kasse *</t>
  </si>
  <si>
    <t>Zusammensetzung der Kosten in € je Pflegetag</t>
  </si>
  <si>
    <t>Pflege-grad</t>
  </si>
  <si>
    <t>Pflege-leistung</t>
  </si>
  <si>
    <t>Unterkunft</t>
  </si>
  <si>
    <t>Verpflegung</t>
  </si>
  <si>
    <t>Invest-kosten</t>
  </si>
  <si>
    <t>Azubi-vergütung1</t>
  </si>
  <si>
    <t>Azubi-vergütung2</t>
  </si>
  <si>
    <t>vergütung 1+2</t>
  </si>
  <si>
    <t>→</t>
  </si>
  <si>
    <r>
      <rPr>
        <b/>
        <sz val="10"/>
        <color rgb="FF000000"/>
        <rFont val="Calibri"/>
        <family val="2"/>
      </rPr>
      <t>Investitionskosten</t>
    </r>
    <r>
      <rPr>
        <sz val="10"/>
        <color rgb="FF000000"/>
        <rFont val="Calibri"/>
        <family val="2"/>
      </rPr>
      <t xml:space="preserve"> von </t>
    </r>
    <r>
      <rPr>
        <b/>
        <sz val="10"/>
        <color rgb="FF000000"/>
        <rFont val="Calibri"/>
        <family val="2"/>
      </rPr>
      <t>15,45 € pro Tag</t>
    </r>
    <r>
      <rPr>
        <sz val="10"/>
        <color rgb="FF000000"/>
        <rFont val="Calibri"/>
        <family val="2"/>
      </rPr>
      <t xml:space="preserve"> enthalten</t>
    </r>
  </si>
  <si>
    <t>Stationär</t>
  </si>
  <si>
    <t>Kurzzeitpflege</t>
  </si>
  <si>
    <t>15% bis 12 Monate</t>
  </si>
  <si>
    <t>30% bis 24 Monate</t>
  </si>
  <si>
    <t>50% bis 36 Monate</t>
  </si>
  <si>
    <t>75% bis 36 Monate</t>
  </si>
  <si>
    <t>Anteil 
Pflegekasse</t>
  </si>
  <si>
    <t>Unter-kunft</t>
  </si>
  <si>
    <t xml:space="preserve">vergütung </t>
  </si>
  <si>
    <t>VHP</t>
  </si>
  <si>
    <t>K34</t>
  </si>
  <si>
    <r>
      <t xml:space="preserve">Bewohner mit einer Versorgung durch PEG tragen einen Verpflegungssatz von </t>
    </r>
    <r>
      <rPr>
        <b/>
        <sz val="10"/>
        <color rgb="FF000000"/>
        <rFont val="Calibri"/>
        <family val="2"/>
      </rPr>
      <t>4,55 €</t>
    </r>
    <r>
      <rPr>
        <sz val="10"/>
        <color rgb="FF000000"/>
        <rFont val="Calibri"/>
        <family val="2"/>
      </rPr>
      <t xml:space="preserve"> pro Tag</t>
    </r>
  </si>
  <si>
    <r>
      <t xml:space="preserve">das Verzehrgeld wurde von der Pflegekasse mit </t>
    </r>
    <r>
      <rPr>
        <b/>
        <sz val="10"/>
        <color theme="1"/>
        <rFont val="Calibri"/>
        <family val="2"/>
        <scheme val="minor"/>
      </rPr>
      <t>7,96 €</t>
    </r>
    <r>
      <rPr>
        <sz val="10"/>
        <color theme="1"/>
        <rFont val="Calibri"/>
        <family val="2"/>
        <scheme val="minor"/>
      </rPr>
      <t xml:space="preserve"> berechnet</t>
    </r>
  </si>
  <si>
    <r>
      <t xml:space="preserve">Bewohner mit einer Versorgung durch PEG tragen einen Verpflegungssatz von </t>
    </r>
    <r>
      <rPr>
        <b/>
        <sz val="10"/>
        <color rgb="FF000000"/>
        <rFont val="Calibri"/>
        <family val="2"/>
      </rPr>
      <t>4,11 €</t>
    </r>
    <r>
      <rPr>
        <sz val="10"/>
        <color rgb="FF000000"/>
        <rFont val="Calibri"/>
        <family val="2"/>
      </rPr>
      <t xml:space="preserve"> pro Tag</t>
    </r>
  </si>
  <si>
    <r>
      <t xml:space="preserve">Bewohner mit einer Versorgung durch PEG tragen einen Verpflegungssatz von </t>
    </r>
    <r>
      <rPr>
        <b/>
        <sz val="10"/>
        <color rgb="FF000000"/>
        <rFont val="Calibri"/>
        <family val="2"/>
      </rPr>
      <t>4,77 €</t>
    </r>
    <r>
      <rPr>
        <sz val="10"/>
        <color rgb="FF000000"/>
        <rFont val="Calibri"/>
        <family val="2"/>
      </rPr>
      <t xml:space="preserve"> pro Tag</t>
    </r>
  </si>
  <si>
    <t>"Haus Elballee" Pflegekostensätze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</si>
</sst>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&quot; &quot;[$€-407]"/>
    <numFmt numFmtId="165" formatCode="&quot; &quot;#,##0.00&quot; &quot;[$€-407]&quot; &quot;;&quot;-&quot;#,##0.00&quot; &quot;[$€-407]&quot; &quot;;&quot; -&quot;00&quot; &quot;[$€-407]&quot; &quot;;&quot; &quot;@&quot; &quot;"/>
    <numFmt numFmtId="166" formatCode="_-* #,##0.00\ [$€-407]_-;\-* #,##0.00\ [$€-407]_-;_-* &quot;-&quot;??\ [$€-407]_-;_-@_-"/>
    <numFmt numFmtId="167" formatCode="#,##0.00\ &quot;€&quot;"/>
    <numFmt numFmtId="168" formatCode="#,##0.00\ [$€-407]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99FF"/>
        <bgColor rgb="FFFF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FF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</fills>
  <borders count="9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50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5" fillId="0" borderId="23" xfId="0" applyFont="1" applyBorder="1"/>
    <xf numFmtId="165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/>
    <xf numFmtId="165" fontId="1" fillId="0" borderId="0" xfId="0" applyNumberFormat="1" applyFont="1"/>
    <xf numFmtId="0" fontId="0" fillId="0" borderId="10" xfId="0" applyBorder="1"/>
    <xf numFmtId="0" fontId="7" fillId="0" borderId="11" xfId="0" applyFont="1" applyBorder="1"/>
    <xf numFmtId="0" fontId="7" fillId="0" borderId="12" xfId="0" applyFont="1" applyBorder="1"/>
    <xf numFmtId="0" fontId="7" fillId="2" borderId="18" xfId="0" applyFont="1" applyFill="1" applyBorder="1"/>
    <xf numFmtId="0" fontId="7" fillId="2" borderId="19" xfId="0" applyFont="1" applyFill="1" applyBorder="1"/>
    <xf numFmtId="9" fontId="7" fillId="2" borderId="19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4" borderId="17" xfId="0" applyNumberFormat="1" applyFont="1" applyFill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/>
    <xf numFmtId="0" fontId="0" fillId="0" borderId="22" xfId="0" applyBorder="1" applyAlignment="1">
      <alignment wrapText="1"/>
    </xf>
    <xf numFmtId="0" fontId="7" fillId="0" borderId="22" xfId="0" applyFont="1" applyBorder="1"/>
    <xf numFmtId="0" fontId="0" fillId="2" borderId="22" xfId="0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165" fontId="7" fillId="2" borderId="22" xfId="0" applyNumberFormat="1" applyFont="1" applyFill="1" applyBorder="1" applyAlignment="1">
      <alignment horizontal="center"/>
    </xf>
    <xf numFmtId="165" fontId="0" fillId="2" borderId="26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165" fontId="0" fillId="2" borderId="24" xfId="0" applyNumberFormat="1" applyFill="1" applyBorder="1" applyAlignment="1">
      <alignment horizontal="center"/>
    </xf>
    <xf numFmtId="165" fontId="0" fillId="2" borderId="22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8" fillId="0" borderId="24" xfId="0" applyFont="1" applyBorder="1"/>
    <xf numFmtId="0" fontId="8" fillId="0" borderId="25" xfId="0" applyFont="1" applyBorder="1"/>
    <xf numFmtId="0" fontId="8" fillId="0" borderId="21" xfId="0" applyFont="1" applyBorder="1"/>
    <xf numFmtId="0" fontId="4" fillId="0" borderId="1" xfId="0" applyFont="1" applyBorder="1" applyAlignment="1">
      <alignment wrapText="1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4" fillId="0" borderId="4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7" fillId="0" borderId="5" xfId="0" applyFont="1" applyBorder="1"/>
    <xf numFmtId="0" fontId="7" fillId="2" borderId="0" xfId="0" applyFont="1" applyFill="1"/>
    <xf numFmtId="0" fontId="7" fillId="0" borderId="30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0" borderId="8" xfId="0" applyFont="1" applyBorder="1" applyAlignment="1">
      <alignment horizontal="left"/>
    </xf>
    <xf numFmtId="0" fontId="7" fillId="0" borderId="9" xfId="0" applyFont="1" applyBorder="1"/>
    <xf numFmtId="0" fontId="7" fillId="2" borderId="16" xfId="0" applyFont="1" applyFill="1" applyBorder="1"/>
    <xf numFmtId="0" fontId="7" fillId="2" borderId="17" xfId="0" applyFont="1" applyFill="1" applyBorder="1"/>
    <xf numFmtId="0" fontId="9" fillId="0" borderId="0" xfId="0" applyFont="1"/>
    <xf numFmtId="164" fontId="7" fillId="0" borderId="4" xfId="0" applyNumberFormat="1" applyFont="1" applyBorder="1" applyAlignment="1">
      <alignment horizontal="center"/>
    </xf>
    <xf numFmtId="0" fontId="0" fillId="5" borderId="0" xfId="0" applyFill="1"/>
    <xf numFmtId="0" fontId="7" fillId="0" borderId="33" xfId="0" applyFont="1" applyBorder="1"/>
    <xf numFmtId="165" fontId="10" fillId="0" borderId="0" xfId="0" applyNumberFormat="1" applyFont="1"/>
    <xf numFmtId="9" fontId="7" fillId="6" borderId="0" xfId="0" applyNumberFormat="1" applyFont="1" applyFill="1" applyAlignment="1">
      <alignment horizontal="center" wrapText="1"/>
    </xf>
    <xf numFmtId="164" fontId="4" fillId="6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2" borderId="36" xfId="0" applyFont="1" applyFill="1" applyBorder="1"/>
    <xf numFmtId="164" fontId="7" fillId="2" borderId="8" xfId="0" applyNumberFormat="1" applyFont="1" applyFill="1" applyBorder="1" applyAlignment="1">
      <alignment horizontal="center"/>
    </xf>
    <xf numFmtId="0" fontId="7" fillId="0" borderId="8" xfId="0" applyFont="1" applyBorder="1"/>
    <xf numFmtId="2" fontId="7" fillId="0" borderId="37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center"/>
    </xf>
    <xf numFmtId="164" fontId="7" fillId="0" borderId="41" xfId="0" applyNumberFormat="1" applyFont="1" applyBorder="1" applyAlignment="1">
      <alignment horizontal="center"/>
    </xf>
    <xf numFmtId="164" fontId="7" fillId="0" borderId="42" xfId="0" applyNumberFormat="1" applyFont="1" applyBorder="1" applyAlignment="1">
      <alignment horizontal="center"/>
    </xf>
    <xf numFmtId="2" fontId="7" fillId="0" borderId="40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164" fontId="7" fillId="0" borderId="38" xfId="0" applyNumberFormat="1" applyFont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164" fontId="7" fillId="0" borderId="44" xfId="0" applyNumberFormat="1" applyFont="1" applyBorder="1" applyAlignment="1">
      <alignment horizontal="center"/>
    </xf>
    <xf numFmtId="0" fontId="0" fillId="0" borderId="7" xfId="0" applyBorder="1"/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/>
    </xf>
    <xf numFmtId="0" fontId="0" fillId="0" borderId="9" xfId="0" applyBorder="1"/>
    <xf numFmtId="0" fontId="7" fillId="2" borderId="52" xfId="0" applyFont="1" applyFill="1" applyBorder="1"/>
    <xf numFmtId="0" fontId="0" fillId="0" borderId="4" xfId="0" applyBorder="1"/>
    <xf numFmtId="164" fontId="7" fillId="3" borderId="0" xfId="0" applyNumberFormat="1" applyFont="1" applyFill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7" fillId="5" borderId="50" xfId="0" applyFont="1" applyFill="1" applyBorder="1" applyAlignment="1">
      <alignment horizontal="center"/>
    </xf>
    <xf numFmtId="0" fontId="7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wrapText="1"/>
    </xf>
    <xf numFmtId="0" fontId="0" fillId="0" borderId="55" xfId="0" applyBorder="1"/>
    <xf numFmtId="0" fontId="0" fillId="0" borderId="56" xfId="0" applyBorder="1"/>
    <xf numFmtId="0" fontId="4" fillId="0" borderId="57" xfId="0" applyFont="1" applyBorder="1" applyAlignment="1">
      <alignment vertical="top"/>
    </xf>
    <xf numFmtId="0" fontId="7" fillId="0" borderId="57" xfId="0" applyFont="1" applyBorder="1"/>
    <xf numFmtId="0" fontId="0" fillId="0" borderId="58" xfId="0" applyBorder="1"/>
    <xf numFmtId="0" fontId="7" fillId="0" borderId="59" xfId="0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164" fontId="4" fillId="3" borderId="31" xfId="0" applyNumberFormat="1" applyFont="1" applyFill="1" applyBorder="1" applyAlignment="1">
      <alignment horizontal="center"/>
    </xf>
    <xf numFmtId="0" fontId="7" fillId="0" borderId="58" xfId="0" applyFont="1" applyBorder="1" applyAlignment="1">
      <alignment horizontal="center"/>
    </xf>
    <xf numFmtId="164" fontId="4" fillId="0" borderId="60" xfId="0" applyNumberFormat="1" applyFont="1" applyBorder="1" applyAlignment="1">
      <alignment horizontal="center"/>
    </xf>
    <xf numFmtId="164" fontId="4" fillId="0" borderId="61" xfId="0" applyNumberFormat="1" applyFont="1" applyBorder="1" applyAlignment="1">
      <alignment horizontal="center"/>
    </xf>
    <xf numFmtId="2" fontId="4" fillId="0" borderId="60" xfId="0" applyNumberFormat="1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2" fontId="7" fillId="0" borderId="63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0" fontId="14" fillId="0" borderId="57" xfId="0" applyFont="1" applyBorder="1"/>
    <xf numFmtId="164" fontId="7" fillId="0" borderId="67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54" xfId="0" applyFont="1" applyBorder="1" applyAlignment="1">
      <alignment horizontal="center"/>
    </xf>
    <xf numFmtId="164" fontId="7" fillId="0" borderId="55" xfId="0" applyNumberFormat="1" applyFont="1" applyBorder="1" applyAlignment="1">
      <alignment horizontal="center"/>
    </xf>
    <xf numFmtId="164" fontId="4" fillId="2" borderId="38" xfId="0" applyNumberFormat="1" applyFont="1" applyFill="1" applyBorder="1" applyAlignment="1">
      <alignment horizontal="center"/>
    </xf>
    <xf numFmtId="164" fontId="4" fillId="2" borderId="55" xfId="0" applyNumberFormat="1" applyFont="1" applyFill="1" applyBorder="1" applyAlignment="1">
      <alignment horizontal="center"/>
    </xf>
    <xf numFmtId="164" fontId="4" fillId="2" borderId="69" xfId="0" applyNumberFormat="1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2" fontId="4" fillId="2" borderId="43" xfId="0" applyNumberFormat="1" applyFont="1" applyFill="1" applyBorder="1" applyAlignment="1">
      <alignment horizontal="center"/>
    </xf>
    <xf numFmtId="2" fontId="4" fillId="2" borderId="63" xfId="0" applyNumberFormat="1" applyFont="1" applyFill="1" applyBorder="1" applyAlignment="1">
      <alignment horizontal="center"/>
    </xf>
    <xf numFmtId="2" fontId="4" fillId="2" borderId="70" xfId="0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2" fontId="4" fillId="0" borderId="56" xfId="0" applyNumberFormat="1" applyFont="1" applyBorder="1" applyAlignment="1">
      <alignment horizontal="center"/>
    </xf>
    <xf numFmtId="164" fontId="4" fillId="0" borderId="71" xfId="0" applyNumberFormat="1" applyFont="1" applyBorder="1" applyAlignment="1">
      <alignment horizontal="center"/>
    </xf>
    <xf numFmtId="164" fontId="4" fillId="0" borderId="72" xfId="0" applyNumberFormat="1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164" fontId="4" fillId="0" borderId="56" xfId="0" applyNumberFormat="1" applyFont="1" applyBorder="1" applyAlignment="1">
      <alignment horizontal="center"/>
    </xf>
    <xf numFmtId="2" fontId="4" fillId="0" borderId="73" xfId="0" applyNumberFormat="1" applyFont="1" applyBorder="1" applyAlignment="1">
      <alignment horizontal="center"/>
    </xf>
    <xf numFmtId="2" fontId="7" fillId="0" borderId="74" xfId="0" applyNumberFormat="1" applyFont="1" applyBorder="1" applyAlignment="1">
      <alignment horizontal="center"/>
    </xf>
    <xf numFmtId="164" fontId="7" fillId="3" borderId="75" xfId="0" applyNumberFormat="1" applyFont="1" applyFill="1" applyBorder="1" applyAlignment="1">
      <alignment horizontal="center"/>
    </xf>
    <xf numFmtId="164" fontId="7" fillId="0" borderId="76" xfId="0" applyNumberFormat="1" applyFont="1" applyBorder="1" applyAlignment="1">
      <alignment horizontal="center"/>
    </xf>
    <xf numFmtId="164" fontId="7" fillId="0" borderId="77" xfId="0" applyNumberFormat="1" applyFont="1" applyBorder="1" applyAlignment="1">
      <alignment horizontal="center"/>
    </xf>
    <xf numFmtId="2" fontId="7" fillId="0" borderId="75" xfId="0" applyNumberFormat="1" applyFont="1" applyBorder="1" applyAlignment="1">
      <alignment horizontal="center"/>
    </xf>
    <xf numFmtId="164" fontId="7" fillId="0" borderId="74" xfId="0" applyNumberFormat="1" applyFont="1" applyBorder="1" applyAlignment="1">
      <alignment horizontal="center"/>
    </xf>
    <xf numFmtId="164" fontId="7" fillId="3" borderId="78" xfId="0" applyNumberFormat="1" applyFont="1" applyFill="1" applyBorder="1" applyAlignment="1">
      <alignment horizontal="center"/>
    </xf>
    <xf numFmtId="2" fontId="7" fillId="0" borderId="79" xfId="0" applyNumberFormat="1" applyFont="1" applyBorder="1" applyAlignment="1">
      <alignment horizontal="center"/>
    </xf>
    <xf numFmtId="0" fontId="7" fillId="2" borderId="80" xfId="0" applyFont="1" applyFill="1" applyBorder="1"/>
    <xf numFmtId="0" fontId="7" fillId="0" borderId="35" xfId="0" applyFont="1" applyBorder="1"/>
    <xf numFmtId="164" fontId="7" fillId="0" borderId="81" xfId="0" applyNumberFormat="1" applyFont="1" applyBorder="1" applyAlignment="1">
      <alignment horizontal="center"/>
    </xf>
    <xf numFmtId="0" fontId="7" fillId="0" borderId="8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167" fontId="7" fillId="7" borderId="87" xfId="0" applyNumberFormat="1" applyFont="1" applyFill="1" applyBorder="1" applyAlignment="1">
      <alignment horizontal="center"/>
    </xf>
    <xf numFmtId="164" fontId="7" fillId="0" borderId="83" xfId="0" applyNumberFormat="1" applyFont="1" applyBorder="1" applyAlignment="1">
      <alignment horizontal="center"/>
    </xf>
    <xf numFmtId="0" fontId="0" fillId="0" borderId="84" xfId="0" applyBorder="1"/>
    <xf numFmtId="0" fontId="7" fillId="0" borderId="40" xfId="0" applyFont="1" applyBorder="1" applyAlignment="1">
      <alignment horizontal="center"/>
    </xf>
    <xf numFmtId="0" fontId="7" fillId="0" borderId="39" xfId="0" applyFont="1" applyBorder="1" applyAlignment="1">
      <alignment wrapText="1" shrinkToFit="1"/>
    </xf>
    <xf numFmtId="0" fontId="7" fillId="0" borderId="85" xfId="0" applyFont="1" applyBorder="1" applyAlignment="1">
      <alignment horizontal="center"/>
    </xf>
    <xf numFmtId="0" fontId="7" fillId="0" borderId="86" xfId="0" applyFont="1" applyBorder="1" applyAlignment="1">
      <alignment wrapText="1" shrinkToFit="1"/>
    </xf>
    <xf numFmtId="0" fontId="0" fillId="0" borderId="0" xfId="0" applyAlignment="1">
      <alignment horizontal="center"/>
    </xf>
    <xf numFmtId="0" fontId="7" fillId="5" borderId="88" xfId="0" applyFont="1" applyFill="1" applyBorder="1" applyAlignment="1">
      <alignment horizontal="center"/>
    </xf>
    <xf numFmtId="0" fontId="7" fillId="0" borderId="89" xfId="0" applyFont="1" applyBorder="1" applyAlignment="1">
      <alignment horizontal="center" vertical="center"/>
    </xf>
    <xf numFmtId="167" fontId="7" fillId="7" borderId="64" xfId="0" applyNumberFormat="1" applyFont="1" applyFill="1" applyBorder="1" applyAlignment="1">
      <alignment horizontal="center"/>
    </xf>
    <xf numFmtId="44" fontId="4" fillId="7" borderId="45" xfId="1" applyFont="1" applyFill="1" applyBorder="1" applyAlignment="1">
      <alignment horizontal="center" vertical="center" wrapText="1" shrinkToFit="1"/>
    </xf>
    <xf numFmtId="164" fontId="7" fillId="0" borderId="65" xfId="0" applyNumberFormat="1" applyFont="1" applyBorder="1" applyAlignment="1">
      <alignment horizontal="center"/>
    </xf>
    <xf numFmtId="164" fontId="4" fillId="3" borderId="47" xfId="0" applyNumberFormat="1" applyFont="1" applyFill="1" applyBorder="1" applyAlignment="1">
      <alignment horizontal="center"/>
    </xf>
    <xf numFmtId="164" fontId="7" fillId="0" borderId="66" xfId="0" applyNumberFormat="1" applyFont="1" applyBorder="1" applyAlignment="1">
      <alignment horizontal="center"/>
    </xf>
    <xf numFmtId="164" fontId="4" fillId="3" borderId="49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67" fontId="12" fillId="7" borderId="90" xfId="0" applyNumberFormat="1" applyFont="1" applyFill="1" applyBorder="1" applyAlignment="1">
      <alignment horizontal="center"/>
    </xf>
    <xf numFmtId="167" fontId="12" fillId="7" borderId="91" xfId="1" applyNumberFormat="1" applyFont="1" applyFill="1" applyBorder="1" applyAlignment="1">
      <alignment horizontal="center"/>
    </xf>
    <xf numFmtId="167" fontId="12" fillId="7" borderId="9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7" borderId="34" xfId="0" applyFill="1" applyBorder="1" applyAlignment="1">
      <alignment horizontal="left"/>
    </xf>
    <xf numFmtId="0" fontId="0" fillId="5" borderId="34" xfId="0" applyFill="1" applyBorder="1" applyAlignment="1">
      <alignment horizontal="left"/>
    </xf>
    <xf numFmtId="167" fontId="0" fillId="5" borderId="34" xfId="1" applyNumberFormat="1" applyFont="1" applyFill="1" applyBorder="1" applyAlignment="1">
      <alignment horizontal="left"/>
    </xf>
    <xf numFmtId="167" fontId="0" fillId="5" borderId="34" xfId="0" applyNumberFormat="1" applyFill="1" applyBorder="1" applyAlignment="1">
      <alignment horizontal="left"/>
    </xf>
    <xf numFmtId="167" fontId="0" fillId="7" borderId="34" xfId="0" applyNumberFormat="1" applyFill="1" applyBorder="1" applyAlignment="1">
      <alignment horizontal="left"/>
    </xf>
    <xf numFmtId="167" fontId="7" fillId="0" borderId="34" xfId="0" applyNumberFormat="1" applyFont="1" applyBorder="1" applyAlignment="1">
      <alignment horizontal="left"/>
    </xf>
    <xf numFmtId="167" fontId="7" fillId="0" borderId="34" xfId="0" applyNumberFormat="1" applyFont="1" applyBorder="1" applyAlignment="1">
      <alignment horizontal="left" shrinkToFit="1"/>
    </xf>
    <xf numFmtId="167" fontId="0" fillId="0" borderId="34" xfId="0" applyNumberFormat="1" applyBorder="1" applyAlignment="1">
      <alignment horizontal="left" wrapText="1"/>
    </xf>
    <xf numFmtId="167" fontId="0" fillId="0" borderId="34" xfId="0" applyNumberFormat="1" applyBorder="1" applyAlignment="1">
      <alignment horizontal="left"/>
    </xf>
    <xf numFmtId="167" fontId="7" fillId="5" borderId="34" xfId="0" applyNumberFormat="1" applyFont="1" applyFill="1" applyBorder="1" applyAlignment="1">
      <alignment horizontal="left"/>
    </xf>
    <xf numFmtId="167" fontId="7" fillId="5" borderId="34" xfId="0" applyNumberFormat="1" applyFont="1" applyFill="1" applyBorder="1" applyAlignment="1">
      <alignment horizontal="left" wrapText="1" shrinkToFit="1"/>
    </xf>
    <xf numFmtId="167" fontId="12" fillId="5" borderId="34" xfId="0" applyNumberFormat="1" applyFont="1" applyFill="1" applyBorder="1" applyAlignment="1">
      <alignment horizontal="left"/>
    </xf>
    <xf numFmtId="167" fontId="4" fillId="7" borderId="34" xfId="2" applyNumberFormat="1" applyFont="1" applyFill="1" applyBorder="1" applyAlignment="1">
      <alignment horizontal="left" wrapText="1" shrinkToFit="1"/>
    </xf>
    <xf numFmtId="167" fontId="12" fillId="7" borderId="34" xfId="0" applyNumberFormat="1" applyFont="1" applyFill="1" applyBorder="1" applyAlignment="1">
      <alignment horizontal="left"/>
    </xf>
    <xf numFmtId="167" fontId="4" fillId="3" borderId="34" xfId="0" applyNumberFormat="1" applyFont="1" applyFill="1" applyBorder="1" applyAlignment="1">
      <alignment horizontal="left"/>
    </xf>
    <xf numFmtId="167" fontId="7" fillId="0" borderId="34" xfId="1" applyNumberFormat="1" applyFont="1" applyBorder="1" applyAlignment="1">
      <alignment horizontal="left"/>
    </xf>
    <xf numFmtId="167" fontId="8" fillId="0" borderId="34" xfId="0" applyNumberFormat="1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5" borderId="34" xfId="0" applyFont="1" applyFill="1" applyBorder="1" applyAlignment="1">
      <alignment horizontal="left"/>
    </xf>
    <xf numFmtId="0" fontId="7" fillId="0" borderId="34" xfId="0" applyFont="1" applyBorder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left"/>
    </xf>
    <xf numFmtId="167" fontId="15" fillId="3" borderId="34" xfId="0" applyNumberFormat="1" applyFont="1" applyFill="1" applyBorder="1" applyAlignment="1">
      <alignment horizontal="left"/>
    </xf>
    <xf numFmtId="167" fontId="16" fillId="7" borderId="34" xfId="0" applyNumberFormat="1" applyFont="1" applyFill="1" applyBorder="1" applyAlignment="1">
      <alignment horizontal="left"/>
    </xf>
    <xf numFmtId="167" fontId="10" fillId="7" borderId="34" xfId="0" applyNumberFormat="1" applyFont="1" applyFill="1" applyBorder="1" applyAlignment="1">
      <alignment horizontal="left"/>
    </xf>
    <xf numFmtId="164" fontId="4" fillId="3" borderId="34" xfId="0" applyNumberFormat="1" applyFont="1" applyFill="1" applyBorder="1" applyAlignment="1">
      <alignment horizontal="left"/>
    </xf>
    <xf numFmtId="164" fontId="7" fillId="0" borderId="34" xfId="0" applyNumberFormat="1" applyFont="1" applyBorder="1" applyAlignment="1">
      <alignment horizontal="left"/>
    </xf>
    <xf numFmtId="167" fontId="17" fillId="7" borderId="34" xfId="0" applyNumberFormat="1" applyFont="1" applyFill="1" applyBorder="1" applyAlignment="1">
      <alignment horizontal="left"/>
    </xf>
    <xf numFmtId="167" fontId="7" fillId="7" borderId="34" xfId="0" applyNumberFormat="1" applyFont="1" applyFill="1" applyBorder="1" applyAlignment="1">
      <alignment horizontal="left"/>
    </xf>
    <xf numFmtId="167" fontId="12" fillId="7" borderId="34" xfId="1" applyNumberFormat="1" applyFont="1" applyFill="1" applyBorder="1" applyAlignment="1">
      <alignment horizontal="left" vertical="center"/>
    </xf>
    <xf numFmtId="0" fontId="8" fillId="0" borderId="34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4" xfId="0" applyFont="1" applyBorder="1" applyAlignment="1">
      <alignment horizontal="left" wrapText="1" shrinkToFit="1"/>
    </xf>
    <xf numFmtId="168" fontId="4" fillId="0" borderId="31" xfId="0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/>
    </xf>
    <xf numFmtId="0" fontId="7" fillId="0" borderId="90" xfId="0" applyFont="1" applyBorder="1"/>
    <xf numFmtId="0" fontId="7" fillId="0" borderId="93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7" fillId="0" borderId="95" xfId="0" applyNumberFormat="1" applyFont="1" applyBorder="1" applyAlignment="1">
      <alignment horizontal="center"/>
    </xf>
    <xf numFmtId="164" fontId="7" fillId="0" borderId="96" xfId="0" applyNumberFormat="1" applyFont="1" applyBorder="1" applyAlignment="1">
      <alignment horizontal="center"/>
    </xf>
    <xf numFmtId="0" fontId="7" fillId="0" borderId="97" xfId="0" applyFont="1" applyBorder="1" applyAlignment="1">
      <alignment wrapText="1" shrinkToFit="1"/>
    </xf>
    <xf numFmtId="166" fontId="7" fillId="7" borderId="94" xfId="0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34" xfId="0" applyFont="1" applyBorder="1" applyAlignment="1">
      <alignment wrapText="1" shrinkToFit="1"/>
    </xf>
    <xf numFmtId="44" fontId="7" fillId="7" borderId="34" xfId="1" applyFont="1" applyFill="1" applyBorder="1"/>
    <xf numFmtId="8" fontId="12" fillId="7" borderId="34" xfId="0" applyNumberFormat="1" applyFont="1" applyFill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164" fontId="4" fillId="3" borderId="34" xfId="0" applyNumberFormat="1" applyFont="1" applyFill="1" applyBorder="1" applyAlignment="1">
      <alignment horizontal="center"/>
    </xf>
    <xf numFmtId="0" fontId="7" fillId="8" borderId="7" xfId="0" applyFont="1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6" xfId="0" applyBorder="1" applyAlignment="1">
      <alignment horizontal="center" wrapText="1"/>
    </xf>
    <xf numFmtId="0" fontId="7" fillId="8" borderId="9" xfId="0" applyFont="1" applyFill="1" applyBorder="1" applyAlignment="1">
      <alignment wrapText="1"/>
    </xf>
    <xf numFmtId="0" fontId="8" fillId="0" borderId="22" xfId="0" applyFont="1" applyBorder="1" applyAlignment="1">
      <alignment wrapText="1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FFCC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57151</xdr:rowOff>
    </xdr:from>
    <xdr:to>
      <xdr:col>15</xdr:col>
      <xdr:colOff>257175</xdr:colOff>
      <xdr:row>5</xdr:row>
      <xdr:rowOff>114301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927D6CD-09EC-48E1-9454-A13A8E2348C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19300" y="57151"/>
          <a:ext cx="3019425" cy="10096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57151</xdr:rowOff>
    </xdr:from>
    <xdr:to>
      <xdr:col>14</xdr:col>
      <xdr:colOff>266700</xdr:colOff>
      <xdr:row>5</xdr:row>
      <xdr:rowOff>114301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BF0069-AEF0-4749-ABA7-3A7C32EEA48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05100" y="57151"/>
          <a:ext cx="3019425" cy="10096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</xdr:rowOff>
    </xdr:from>
    <xdr:to>
      <xdr:col>15</xdr:col>
      <xdr:colOff>0</xdr:colOff>
      <xdr:row>5</xdr:row>
      <xdr:rowOff>57151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C4196B-CE8F-443A-90DE-452B4667FFA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14600" y="1"/>
          <a:ext cx="2800350" cy="10096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0</xdr:rowOff>
    </xdr:from>
    <xdr:to>
      <xdr:col>15</xdr:col>
      <xdr:colOff>171450</xdr:colOff>
      <xdr:row>4</xdr:row>
      <xdr:rowOff>123825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955C1C-214F-4C4F-AA48-C29A6F1DAF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143125" y="0"/>
          <a:ext cx="2781300" cy="8858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0</xdr:rowOff>
    </xdr:from>
    <xdr:to>
      <xdr:col>15</xdr:col>
      <xdr:colOff>514350</xdr:colOff>
      <xdr:row>4</xdr:row>
      <xdr:rowOff>123825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9B99E1D-A5D1-4373-8A37-09D53CA2C2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171700" y="0"/>
          <a:ext cx="2952750" cy="8858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C808-C855-451F-874C-301F69AA8EE4}">
  <dimension ref="A7:P45"/>
  <sheetViews>
    <sheetView view="pageLayout" topLeftCell="A19" zoomScaleNormal="100" workbookViewId="0">
      <selection activeCell="P41" sqref="P41"/>
    </sheetView>
  </sheetViews>
  <sheetFormatPr baseColWidth="10" defaultRowHeight="15" x14ac:dyDescent="0.25"/>
  <cols>
    <col min="1" max="1" width="4.7109375" customWidth="1"/>
    <col min="2" max="2" width="10.85546875" customWidth="1"/>
    <col min="3" max="3" width="11.5703125" customWidth="1"/>
    <col min="4" max="4" width="10.42578125" customWidth="1"/>
    <col min="5" max="5" width="10.5703125" customWidth="1"/>
    <col min="6" max="7" width="0.140625" hidden="1" customWidth="1"/>
    <col min="8" max="8" width="10.140625" hidden="1" customWidth="1"/>
    <col min="9" max="9" width="7.140625" hidden="1" customWidth="1"/>
    <col min="10" max="10" width="11" hidden="1" customWidth="1"/>
    <col min="11" max="11" width="11.42578125" hidden="1" customWidth="1"/>
    <col min="12" max="12" width="6.42578125" hidden="1" customWidth="1"/>
    <col min="13" max="13" width="6" customWidth="1"/>
    <col min="14" max="14" width="11.85546875" customWidth="1"/>
    <col min="15" max="15" width="9.42578125" customWidth="1"/>
  </cols>
  <sheetData>
    <row r="7" spans="1:16" ht="18.75" x14ac:dyDescent="0.3">
      <c r="B7" s="86" t="s">
        <v>46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9" spans="1:16" ht="15.75" thickBot="1" x14ac:dyDescent="0.3">
      <c r="A9" t="s">
        <v>31</v>
      </c>
      <c r="M9" s="224" t="s">
        <v>32</v>
      </c>
      <c r="N9" s="224"/>
      <c r="O9" s="224"/>
      <c r="P9" s="224"/>
    </row>
    <row r="10" spans="1:16" x14ac:dyDescent="0.25">
      <c r="A10" s="69"/>
      <c r="B10" s="1" t="s">
        <v>0</v>
      </c>
      <c r="C10" s="1"/>
      <c r="D10" s="1"/>
      <c r="E10" s="2"/>
      <c r="K10" s="53"/>
      <c r="L10" s="53"/>
      <c r="M10" s="225" t="s">
        <v>14</v>
      </c>
      <c r="N10" s="225" t="s">
        <v>15</v>
      </c>
      <c r="O10" s="225" t="s">
        <v>4</v>
      </c>
      <c r="P10" s="226" t="s">
        <v>4</v>
      </c>
    </row>
    <row r="11" spans="1:16" ht="15.75" thickBot="1" x14ac:dyDescent="0.3">
      <c r="A11" s="72"/>
      <c r="B11" s="53"/>
      <c r="C11" s="73" t="s">
        <v>1</v>
      </c>
      <c r="D11" s="73"/>
      <c r="E11" s="74"/>
      <c r="F11" s="75"/>
      <c r="G11" s="75"/>
      <c r="H11" s="75"/>
      <c r="I11" s="75"/>
      <c r="J11" s="75"/>
      <c r="K11" s="53"/>
      <c r="L11" s="53"/>
      <c r="M11" s="225"/>
      <c r="N11" s="225" t="s">
        <v>16</v>
      </c>
      <c r="O11" s="225" t="s">
        <v>17</v>
      </c>
      <c r="P11" s="226" t="s">
        <v>18</v>
      </c>
    </row>
    <row r="12" spans="1:16" x14ac:dyDescent="0.25">
      <c r="A12" s="77" t="s">
        <v>2</v>
      </c>
      <c r="B12" s="53" t="s">
        <v>3</v>
      </c>
      <c r="C12" s="78" t="s">
        <v>4</v>
      </c>
      <c r="D12" s="78" t="s">
        <v>5</v>
      </c>
      <c r="E12" s="79" t="s">
        <v>6</v>
      </c>
      <c r="F12" s="80"/>
      <c r="G12" s="81"/>
      <c r="H12" s="81"/>
      <c r="I12" s="81"/>
      <c r="J12" s="81"/>
      <c r="K12" s="53"/>
      <c r="L12" s="53"/>
      <c r="M12" s="225"/>
      <c r="N12" s="225"/>
      <c r="O12" s="225" t="s">
        <v>19</v>
      </c>
      <c r="P12" s="226"/>
    </row>
    <row r="13" spans="1:16" x14ac:dyDescent="0.25">
      <c r="A13" s="77" t="s">
        <v>7</v>
      </c>
      <c r="B13" s="53"/>
      <c r="C13" s="82" t="s">
        <v>2</v>
      </c>
      <c r="D13" s="82" t="s">
        <v>8</v>
      </c>
      <c r="E13" s="83" t="s">
        <v>9</v>
      </c>
      <c r="F13" s="84"/>
      <c r="G13" s="85"/>
      <c r="H13" s="85"/>
      <c r="I13" s="85"/>
      <c r="J13" s="85"/>
      <c r="K13" s="53"/>
      <c r="L13" s="53"/>
      <c r="M13" s="210">
        <v>1</v>
      </c>
      <c r="N13" s="221">
        <v>166.3</v>
      </c>
      <c r="O13" s="221">
        <v>119.57</v>
      </c>
      <c r="P13" s="222">
        <v>46.73</v>
      </c>
    </row>
    <row r="14" spans="1:16" ht="15.75" thickBot="1" x14ac:dyDescent="0.3">
      <c r="A14" s="14"/>
      <c r="C14" s="97" t="s">
        <v>10</v>
      </c>
      <c r="D14" s="97" t="s">
        <v>11</v>
      </c>
      <c r="E14" s="83" t="s">
        <v>12</v>
      </c>
      <c r="F14" s="17"/>
      <c r="G14" s="18"/>
      <c r="H14" s="19">
        <v>0.05</v>
      </c>
      <c r="I14" s="19">
        <v>0.05</v>
      </c>
      <c r="J14" s="95"/>
      <c r="K14" s="91"/>
      <c r="L14" s="91"/>
      <c r="M14" s="212">
        <v>2</v>
      </c>
      <c r="N14" s="219">
        <f>SUM(N13*2)</f>
        <v>332.6</v>
      </c>
      <c r="O14" s="219">
        <f>SUM(O13*2)</f>
        <v>239.14</v>
      </c>
      <c r="P14" s="218">
        <f>SUM(P13*2)</f>
        <v>93.46</v>
      </c>
    </row>
    <row r="15" spans="1:16" x14ac:dyDescent="0.25">
      <c r="A15" s="20"/>
      <c r="B15" s="21"/>
      <c r="C15" s="98"/>
      <c r="D15" s="158"/>
      <c r="E15" s="152"/>
      <c r="F15" s="24"/>
      <c r="G15" s="24"/>
      <c r="H15" s="24"/>
      <c r="I15" s="24"/>
      <c r="J15" s="24"/>
      <c r="K15" s="88"/>
      <c r="L15" s="88"/>
      <c r="M15" s="212">
        <v>3</v>
      </c>
      <c r="N15" s="219">
        <f>SUM(N13*3)</f>
        <v>498.90000000000003</v>
      </c>
      <c r="O15" s="219">
        <f>SUM(O13*3)</f>
        <v>358.71</v>
      </c>
      <c r="P15" s="218">
        <f>SUM(P13*3)</f>
        <v>140.19</v>
      </c>
    </row>
    <row r="16" spans="1:16" x14ac:dyDescent="0.25">
      <c r="A16" s="26">
        <v>2</v>
      </c>
      <c r="B16" s="96">
        <f>SUM(J35)</f>
        <v>4277.0519999999997</v>
      </c>
      <c r="C16" s="99">
        <v>805</v>
      </c>
      <c r="D16" s="159">
        <f>SUM(D35)*30.42</f>
        <v>104.34060000000001</v>
      </c>
      <c r="E16" s="106">
        <f>SUM(B16-C16)</f>
        <v>3472.0519999999997</v>
      </c>
      <c r="F16" s="31">
        <f>SUM(B35+H35)*30.42</f>
        <v>2852.7876000000001</v>
      </c>
      <c r="G16" s="31">
        <f>SUM(F16-C16)</f>
        <v>2047.7876000000001</v>
      </c>
      <c r="H16" s="31">
        <f>SUM(G16*5/100)</f>
        <v>102.38938</v>
      </c>
      <c r="I16" s="31">
        <f>SUM(G16-H16)</f>
        <v>1945.39822</v>
      </c>
      <c r="J16" s="31"/>
      <c r="K16" s="92"/>
      <c r="L16" s="92"/>
      <c r="M16" s="212">
        <v>4</v>
      </c>
      <c r="N16" s="219">
        <f>SUM(N13*4)</f>
        <v>665.2</v>
      </c>
      <c r="O16" s="219">
        <f>SUM(O13*4)</f>
        <v>478.28</v>
      </c>
      <c r="P16" s="218">
        <f>SUM(P13*4)</f>
        <v>186.92</v>
      </c>
    </row>
    <row r="17" spans="1:16" ht="15.75" thickBot="1" x14ac:dyDescent="0.3">
      <c r="A17" s="34"/>
      <c r="B17" s="35"/>
      <c r="C17" s="100"/>
      <c r="D17" s="160"/>
      <c r="E17" s="153"/>
      <c r="F17" s="38"/>
      <c r="G17" s="38"/>
      <c r="H17" s="38"/>
      <c r="I17" s="38"/>
      <c r="J17" s="38"/>
      <c r="K17" s="93"/>
      <c r="L17" s="93"/>
      <c r="M17" s="212">
        <v>5</v>
      </c>
      <c r="N17" s="219">
        <f>SUM(N13*5)</f>
        <v>831.5</v>
      </c>
      <c r="O17" s="219">
        <f>SUM(O13*5)</f>
        <v>597.84999999999991</v>
      </c>
      <c r="P17" s="218">
        <f>SUM(P13*5)</f>
        <v>233.64999999999998</v>
      </c>
    </row>
    <row r="18" spans="1:16" x14ac:dyDescent="0.25">
      <c r="A18" s="20"/>
      <c r="B18" s="40"/>
      <c r="C18" s="101"/>
      <c r="D18" s="161"/>
      <c r="E18" s="154"/>
      <c r="F18" s="43"/>
      <c r="G18" s="43"/>
      <c r="H18" s="43"/>
      <c r="I18" s="43"/>
      <c r="J18" s="43"/>
      <c r="K18" s="93"/>
      <c r="L18" s="93"/>
      <c r="M18" s="212">
        <v>6</v>
      </c>
      <c r="N18" s="219">
        <f>SUM(N13*6)</f>
        <v>997.80000000000007</v>
      </c>
      <c r="O18" s="219">
        <f>SUM(O13*6)</f>
        <v>717.42</v>
      </c>
      <c r="P18" s="218">
        <f>SUM(P13*6)</f>
        <v>280.38</v>
      </c>
    </row>
    <row r="19" spans="1:16" x14ac:dyDescent="0.25">
      <c r="A19" s="26">
        <v>3</v>
      </c>
      <c r="B19" s="46">
        <f>SUM(J36)</f>
        <v>4791.4541999999992</v>
      </c>
      <c r="C19" s="99">
        <v>1319</v>
      </c>
      <c r="D19" s="159">
        <f>SUM(D36)*30.42</f>
        <v>104.34060000000001</v>
      </c>
      <c r="E19" s="106">
        <f>SUM(B19-C19)</f>
        <v>3472.4541999999992</v>
      </c>
      <c r="F19" s="31">
        <f>SUM(B36+H36)*30.42</f>
        <v>3367.1898000000001</v>
      </c>
      <c r="G19" s="31">
        <f>SUM(F19-C19)</f>
        <v>2048.1898000000001</v>
      </c>
      <c r="H19" s="31">
        <f>SUM(G19*5/100)</f>
        <v>102.40949000000001</v>
      </c>
      <c r="I19" s="31">
        <f>SUM(G19-H19)</f>
        <v>1945.7803100000001</v>
      </c>
      <c r="J19" s="31"/>
      <c r="K19" s="92"/>
      <c r="L19" s="92"/>
      <c r="M19" s="212">
        <v>7</v>
      </c>
      <c r="N19" s="219">
        <f>SUM(N13*7)</f>
        <v>1164.1000000000001</v>
      </c>
      <c r="O19" s="219">
        <f>SUM(O13*7)</f>
        <v>836.99</v>
      </c>
      <c r="P19" s="218">
        <f>SUM(P13*7)</f>
        <v>327.10999999999996</v>
      </c>
    </row>
    <row r="20" spans="1:16" ht="15.75" thickBot="1" x14ac:dyDescent="0.3">
      <c r="A20" s="34"/>
      <c r="B20" s="35"/>
      <c r="C20" s="100"/>
      <c r="D20" s="160"/>
      <c r="E20" s="153"/>
      <c r="F20" s="38"/>
      <c r="G20" s="38"/>
      <c r="H20" s="38"/>
      <c r="I20" s="38"/>
      <c r="J20" s="38"/>
      <c r="K20" s="93"/>
      <c r="L20" s="93"/>
      <c r="M20" s="212">
        <v>8</v>
      </c>
      <c r="N20" s="219">
        <f>SUM(N13*8)</f>
        <v>1330.4</v>
      </c>
      <c r="O20" s="219">
        <f>SUM(O13*8)</f>
        <v>956.56</v>
      </c>
      <c r="P20" s="218">
        <f>SUM(P13*8)</f>
        <v>373.84</v>
      </c>
    </row>
    <row r="21" spans="1:16" x14ac:dyDescent="0.25">
      <c r="A21" s="20"/>
      <c r="B21" s="40"/>
      <c r="C21" s="101"/>
      <c r="D21" s="161"/>
      <c r="E21" s="154"/>
      <c r="F21" s="43"/>
      <c r="G21" s="43"/>
      <c r="H21" s="43"/>
      <c r="I21" s="43"/>
      <c r="J21" s="43"/>
      <c r="K21" s="93"/>
      <c r="L21" s="93"/>
      <c r="M21" s="212">
        <v>9</v>
      </c>
      <c r="N21" s="219">
        <f>SUM(N13*9)</f>
        <v>1496.7</v>
      </c>
      <c r="O21" s="219">
        <f>SUM(O13*9)</f>
        <v>1076.1299999999999</v>
      </c>
      <c r="P21" s="218">
        <f>SUM(P13*9)</f>
        <v>420.57</v>
      </c>
    </row>
    <row r="22" spans="1:16" x14ac:dyDescent="0.25">
      <c r="A22" s="26">
        <v>4</v>
      </c>
      <c r="B22" s="46">
        <f>SUM(J37)</f>
        <v>5326.8462</v>
      </c>
      <c r="C22" s="99">
        <v>1855</v>
      </c>
      <c r="D22" s="159">
        <f>SUM(D37)*30.42</f>
        <v>104.34060000000001</v>
      </c>
      <c r="E22" s="106">
        <f>SUM(B22-C22)</f>
        <v>3471.8462</v>
      </c>
      <c r="F22" s="31">
        <f>SUM(B37+H37)*30.42</f>
        <v>3902.5817999999999</v>
      </c>
      <c r="G22" s="31">
        <f>SUM(F22-C22)</f>
        <v>2047.5817999999999</v>
      </c>
      <c r="H22" s="31">
        <f>SUM(G22*5/100)</f>
        <v>102.37908999999999</v>
      </c>
      <c r="I22" s="31">
        <f>SUM(G22-H22)</f>
        <v>1945.20271</v>
      </c>
      <c r="J22" s="31"/>
      <c r="K22" s="92"/>
      <c r="L22" s="92"/>
      <c r="M22" s="212">
        <v>10</v>
      </c>
      <c r="N22" s="219">
        <f>SUM(N13*10)</f>
        <v>1663</v>
      </c>
      <c r="O22" s="219">
        <f>SUM(O13*10)</f>
        <v>1195.6999999999998</v>
      </c>
      <c r="P22" s="218">
        <f>SUM(P13*10)</f>
        <v>467.29999999999995</v>
      </c>
    </row>
    <row r="23" spans="1:16" ht="15.75" thickBot="1" x14ac:dyDescent="0.3">
      <c r="A23" s="34"/>
      <c r="B23" s="35"/>
      <c r="C23" s="100"/>
      <c r="D23" s="160"/>
      <c r="E23" s="153"/>
      <c r="F23" s="38"/>
      <c r="G23" s="38"/>
      <c r="H23" s="38"/>
      <c r="I23" s="38"/>
      <c r="J23" s="38"/>
      <c r="K23" s="93"/>
      <c r="L23" s="93"/>
      <c r="M23" s="212">
        <v>11</v>
      </c>
      <c r="N23" s="219">
        <f>SUM(N13*11)</f>
        <v>1829.3000000000002</v>
      </c>
      <c r="O23" s="219">
        <f>SUM(O13*11)</f>
        <v>1315.27</v>
      </c>
      <c r="P23" s="218">
        <f>SUM(P13*11)</f>
        <v>514.03</v>
      </c>
    </row>
    <row r="24" spans="1:16" x14ac:dyDescent="0.25">
      <c r="A24" s="20"/>
      <c r="B24" s="40"/>
      <c r="C24" s="101"/>
      <c r="D24" s="161"/>
      <c r="E24" s="154"/>
      <c r="F24" s="43"/>
      <c r="G24" s="43"/>
      <c r="H24" s="43"/>
      <c r="I24" s="43"/>
      <c r="J24" s="43"/>
      <c r="K24" s="93"/>
      <c r="L24" s="93"/>
      <c r="M24" s="212">
        <v>12</v>
      </c>
      <c r="N24" s="219">
        <f>SUM(N13*12)</f>
        <v>1995.6000000000001</v>
      </c>
      <c r="O24" s="219">
        <f>SUM(O13*12)</f>
        <v>1434.84</v>
      </c>
      <c r="P24" s="218">
        <f>SUM(P13*12)</f>
        <v>560.76</v>
      </c>
    </row>
    <row r="25" spans="1:16" x14ac:dyDescent="0.25">
      <c r="A25" s="26">
        <v>5</v>
      </c>
      <c r="B25" s="46">
        <f>SUM(J38)</f>
        <v>5568.0767999999998</v>
      </c>
      <c r="C25" s="99">
        <v>2096</v>
      </c>
      <c r="D25" s="159">
        <f>SUM(D38)*30.42</f>
        <v>104.34060000000001</v>
      </c>
      <c r="E25" s="106">
        <f>SUM(B25-C25)</f>
        <v>3472.0767999999998</v>
      </c>
      <c r="F25" s="31">
        <f>SUM(B38+H38)*30.42</f>
        <v>4143.8123999999998</v>
      </c>
      <c r="G25" s="31">
        <f>SUM(F25-C25)</f>
        <v>2047.8123999999998</v>
      </c>
      <c r="H25" s="31">
        <f>SUM(G25*5/100)</f>
        <v>102.39061999999998</v>
      </c>
      <c r="I25" s="31">
        <f>SUM(G25-H25)</f>
        <v>1945.4217799999999</v>
      </c>
      <c r="J25" s="31"/>
      <c r="K25" s="92"/>
      <c r="L25" s="92"/>
      <c r="M25" s="212">
        <v>13</v>
      </c>
      <c r="N25" s="219">
        <f>SUM(N13*13)</f>
        <v>2161.9</v>
      </c>
      <c r="O25" s="219">
        <f>SUM(O13*13)</f>
        <v>1554.4099999999999</v>
      </c>
      <c r="P25" s="218">
        <f>SUM(P13*13)</f>
        <v>607.49</v>
      </c>
    </row>
    <row r="26" spans="1:16" ht="15.75" thickBot="1" x14ac:dyDescent="0.3">
      <c r="A26" s="26"/>
      <c r="B26" s="141"/>
      <c r="C26" s="102"/>
      <c r="D26" s="162"/>
      <c r="E26" s="155"/>
      <c r="F26" s="50"/>
      <c r="G26" s="50"/>
      <c r="H26" s="50"/>
      <c r="I26" s="50"/>
      <c r="J26" s="50"/>
      <c r="K26" s="93"/>
      <c r="L26" s="93"/>
      <c r="M26" s="212">
        <v>14</v>
      </c>
      <c r="N26" s="219">
        <f>SUM(N13*14)</f>
        <v>2328.2000000000003</v>
      </c>
      <c r="O26" s="219">
        <f>SUM(O13*14)</f>
        <v>1673.98</v>
      </c>
      <c r="P26" s="218">
        <f>SUM(P13*14)</f>
        <v>654.21999999999991</v>
      </c>
    </row>
    <row r="27" spans="1:16" x14ac:dyDescent="0.25">
      <c r="A27" s="142"/>
      <c r="B27" s="143"/>
      <c r="C27" s="104"/>
      <c r="D27" s="163"/>
      <c r="E27" s="156"/>
      <c r="F27" s="43"/>
      <c r="G27" s="43"/>
      <c r="H27" s="43"/>
      <c r="I27" s="43"/>
      <c r="J27" s="43"/>
      <c r="K27" s="93"/>
      <c r="L27" s="93"/>
      <c r="M27" s="212">
        <v>15</v>
      </c>
      <c r="N27" s="219">
        <f>SUM(N13*15)</f>
        <v>2494.5</v>
      </c>
      <c r="O27" s="219">
        <f>SUM(O13*15)</f>
        <v>1793.55</v>
      </c>
      <c r="P27" s="218">
        <f>SUM(P13*15)</f>
        <v>700.94999999999993</v>
      </c>
    </row>
    <row r="28" spans="1:16" x14ac:dyDescent="0.25">
      <c r="A28" s="130" t="s">
        <v>13</v>
      </c>
      <c r="B28" s="201">
        <v>4989</v>
      </c>
      <c r="C28" s="108">
        <v>3539</v>
      </c>
      <c r="D28" s="164"/>
      <c r="E28" s="106">
        <f>SUM(B28-C28)</f>
        <v>1450</v>
      </c>
      <c r="F28" s="31"/>
      <c r="G28" s="31"/>
      <c r="H28" s="31"/>
      <c r="I28" s="31"/>
      <c r="J28" s="31"/>
      <c r="K28" s="93"/>
      <c r="L28" s="94"/>
      <c r="M28" s="212">
        <v>16</v>
      </c>
      <c r="N28" s="219">
        <f>SUM(N13*16)</f>
        <v>2660.8</v>
      </c>
      <c r="O28" s="219">
        <f>SUM(O13*16)</f>
        <v>1913.12</v>
      </c>
      <c r="P28" s="218">
        <f>SUM(P13*16)</f>
        <v>747.68</v>
      </c>
    </row>
    <row r="29" spans="1:16" ht="15.75" thickBot="1" x14ac:dyDescent="0.3">
      <c r="A29" s="136" t="s">
        <v>40</v>
      </c>
      <c r="B29" s="137"/>
      <c r="C29" s="140"/>
      <c r="D29" s="165"/>
      <c r="E29" s="157"/>
      <c r="F29" s="50"/>
      <c r="G29" s="50"/>
      <c r="H29" s="50"/>
      <c r="I29" s="50"/>
      <c r="J29" s="50"/>
      <c r="K29" s="93"/>
      <c r="L29" s="94"/>
      <c r="M29" s="212">
        <v>17</v>
      </c>
      <c r="N29" s="219">
        <f>SUM(N13*17)</f>
        <v>2827.1000000000004</v>
      </c>
      <c r="O29" s="219">
        <v>1854</v>
      </c>
      <c r="P29" s="218">
        <v>853.93</v>
      </c>
    </row>
    <row r="30" spans="1:16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M30" s="214">
        <v>18</v>
      </c>
      <c r="N30" s="201">
        <f>SUM(N13*18)</f>
        <v>2993.4</v>
      </c>
      <c r="O30" s="201">
        <f>SUM(O13*18)</f>
        <v>2152.2599999999998</v>
      </c>
      <c r="P30" s="216">
        <f>SUM(P13*18)</f>
        <v>841.14</v>
      </c>
    </row>
    <row r="31" spans="1:16" x14ac:dyDescent="0.25">
      <c r="M31" s="213">
        <v>19</v>
      </c>
      <c r="N31" s="202">
        <f>SUM(N13*19)</f>
        <v>3159.7000000000003</v>
      </c>
      <c r="O31" s="202">
        <f>SUM(O13*19)</f>
        <v>2271.83</v>
      </c>
      <c r="P31" s="215">
        <f>SUM(P13*19)</f>
        <v>887.86999999999989</v>
      </c>
    </row>
    <row r="32" spans="1:16" x14ac:dyDescent="0.25">
      <c r="A32" s="5" t="s">
        <v>20</v>
      </c>
      <c r="B32" s="66"/>
      <c r="C32" s="66"/>
      <c r="D32" s="66"/>
      <c r="E32" s="67"/>
      <c r="F32" s="68"/>
      <c r="G32" s="12"/>
      <c r="H32" s="12"/>
      <c r="I32" s="12"/>
      <c r="J32" s="12"/>
      <c r="K32" s="12"/>
      <c r="M32" s="213">
        <v>20</v>
      </c>
      <c r="N32" s="202">
        <f>SUM(N13*20)</f>
        <v>3326</v>
      </c>
      <c r="O32" s="202">
        <f>SUM(O13*20)</f>
        <v>2391.3999999999996</v>
      </c>
      <c r="P32" s="215">
        <f>SUM(P13*20)</f>
        <v>934.59999999999991</v>
      </c>
    </row>
    <row r="33" spans="1:16" x14ac:dyDescent="0.25">
      <c r="A33" s="244" t="s">
        <v>21</v>
      </c>
      <c r="B33" s="244" t="s">
        <v>22</v>
      </c>
      <c r="C33" s="244" t="s">
        <v>23</v>
      </c>
      <c r="D33" s="55" t="s">
        <v>5</v>
      </c>
      <c r="E33" s="245" t="s">
        <v>24</v>
      </c>
      <c r="F33" s="246" t="s">
        <v>25</v>
      </c>
      <c r="G33" s="244" t="s">
        <v>26</v>
      </c>
      <c r="H33" s="244" t="s">
        <v>27</v>
      </c>
      <c r="I33" s="54"/>
      <c r="J33" s="54"/>
      <c r="M33" s="213">
        <v>21</v>
      </c>
      <c r="N33" s="202">
        <f>SUM(N13*21)</f>
        <v>3492.3</v>
      </c>
      <c r="O33" s="202">
        <f>SUM(O13*21)</f>
        <v>2510.9699999999998</v>
      </c>
      <c r="P33" s="215">
        <f>SUM(P13*21)</f>
        <v>981.32999999999993</v>
      </c>
    </row>
    <row r="34" spans="1:16" x14ac:dyDescent="0.25">
      <c r="A34" s="244"/>
      <c r="B34" s="244"/>
      <c r="C34" s="244"/>
      <c r="D34" s="55" t="s">
        <v>28</v>
      </c>
      <c r="E34" s="245"/>
      <c r="F34" s="246"/>
      <c r="G34" s="244"/>
      <c r="H34" s="244"/>
      <c r="I34" s="54"/>
      <c r="J34" s="54"/>
      <c r="M34" s="213">
        <v>22</v>
      </c>
      <c r="N34" s="202">
        <f>SUM(N13*22)</f>
        <v>3658.6000000000004</v>
      </c>
      <c r="O34" s="202">
        <f>SUM(O13*22)</f>
        <v>2630.54</v>
      </c>
      <c r="P34" s="215">
        <f>SUM(P13*22)</f>
        <v>1028.06</v>
      </c>
    </row>
    <row r="35" spans="1:16" x14ac:dyDescent="0.25">
      <c r="A35" s="56">
        <v>2</v>
      </c>
      <c r="B35" s="57">
        <v>90.44</v>
      </c>
      <c r="C35" s="58">
        <v>18.77</v>
      </c>
      <c r="D35" s="58">
        <v>3.43</v>
      </c>
      <c r="E35" s="59">
        <v>12.51</v>
      </c>
      <c r="F35" s="60">
        <v>15.45</v>
      </c>
      <c r="G35" s="60">
        <v>0</v>
      </c>
      <c r="H35" s="61">
        <v>3.34</v>
      </c>
      <c r="I35" s="62">
        <f>SUM(B35:F35)</f>
        <v>140.6</v>
      </c>
      <c r="J35" s="62">
        <f>SUM(I35)*30.42</f>
        <v>4277.0519999999997</v>
      </c>
      <c r="K35" s="13"/>
      <c r="L35" s="13"/>
      <c r="M35" s="213">
        <v>23</v>
      </c>
      <c r="N35" s="202">
        <f>SUM(N13*23)</f>
        <v>3824.9</v>
      </c>
      <c r="O35" s="202">
        <f>SUM(O13*23)</f>
        <v>2750.1099999999997</v>
      </c>
      <c r="P35" s="215">
        <f>SUM(P13*23)</f>
        <v>1074.79</v>
      </c>
    </row>
    <row r="36" spans="1:16" x14ac:dyDescent="0.25">
      <c r="A36" s="63">
        <v>3</v>
      </c>
      <c r="B36" s="64">
        <v>107.35</v>
      </c>
      <c r="C36" s="58">
        <v>18.77</v>
      </c>
      <c r="D36" s="58">
        <v>3.43</v>
      </c>
      <c r="E36" s="59">
        <v>12.51</v>
      </c>
      <c r="F36" s="60">
        <v>15.45</v>
      </c>
      <c r="G36" s="60">
        <v>0</v>
      </c>
      <c r="H36" s="61">
        <v>3.34</v>
      </c>
      <c r="I36" s="62">
        <f>SUM(B36:F36)</f>
        <v>157.50999999999996</v>
      </c>
      <c r="J36" s="62">
        <f>SUM(I36)*30.42</f>
        <v>4791.4541999999992</v>
      </c>
      <c r="K36" s="13"/>
      <c r="L36" s="13"/>
      <c r="M36" s="213">
        <v>24</v>
      </c>
      <c r="N36" s="202">
        <f>SUM(N13*24)</f>
        <v>3991.2000000000003</v>
      </c>
      <c r="O36" s="202">
        <f>SUM(O13*24)</f>
        <v>2869.68</v>
      </c>
      <c r="P36" s="215">
        <f>SUM(P13*24)</f>
        <v>1121.52</v>
      </c>
    </row>
    <row r="37" spans="1:16" x14ac:dyDescent="0.25">
      <c r="A37" s="63">
        <v>4</v>
      </c>
      <c r="B37" s="64">
        <v>124.95</v>
      </c>
      <c r="C37" s="58">
        <v>18.77</v>
      </c>
      <c r="D37" s="58">
        <v>3.43</v>
      </c>
      <c r="E37" s="59">
        <v>12.51</v>
      </c>
      <c r="F37" s="60">
        <v>15.45</v>
      </c>
      <c r="G37" s="60">
        <v>0</v>
      </c>
      <c r="H37" s="61">
        <v>3.34</v>
      </c>
      <c r="I37" s="62">
        <f>SUM(B37:F37)</f>
        <v>175.10999999999999</v>
      </c>
      <c r="J37" s="62">
        <f>SUM(I37)*30.42</f>
        <v>5326.8462</v>
      </c>
      <c r="K37" s="13"/>
      <c r="L37" s="13"/>
      <c r="M37" s="213">
        <v>25</v>
      </c>
      <c r="N37" s="202">
        <f>SUM(N13*25)</f>
        <v>4157.5</v>
      </c>
      <c r="O37" s="202">
        <f>SUM(O13*25)</f>
        <v>2989.25</v>
      </c>
      <c r="P37" s="215">
        <f>SUM(P13*25)</f>
        <v>1168.25</v>
      </c>
    </row>
    <row r="38" spans="1:16" x14ac:dyDescent="0.25">
      <c r="A38" s="63">
        <v>5</v>
      </c>
      <c r="B38" s="64">
        <v>132.88</v>
      </c>
      <c r="C38" s="58">
        <v>18.77</v>
      </c>
      <c r="D38" s="58">
        <v>3.43</v>
      </c>
      <c r="E38" s="59">
        <v>12.51</v>
      </c>
      <c r="F38" s="60">
        <v>15.45</v>
      </c>
      <c r="G38" s="60">
        <v>0</v>
      </c>
      <c r="H38" s="61">
        <v>3.34</v>
      </c>
      <c r="I38" s="62">
        <f>SUM(B38:F38)</f>
        <v>183.04</v>
      </c>
      <c r="J38" s="62">
        <f>SUM(I38)*30.42</f>
        <v>5568.0767999999998</v>
      </c>
      <c r="K38" s="13"/>
      <c r="L38" s="13"/>
      <c r="M38" s="213">
        <v>26</v>
      </c>
      <c r="N38" s="202">
        <f>SUM(N13*26)</f>
        <v>4323.8</v>
      </c>
      <c r="O38" s="202">
        <f>SUM(O13*26)</f>
        <v>3108.8199999999997</v>
      </c>
      <c r="P38" s="215">
        <f>SUM(P13*26)</f>
        <v>1214.98</v>
      </c>
    </row>
    <row r="39" spans="1:16" x14ac:dyDescent="0.25">
      <c r="A39" s="65" t="s">
        <v>13</v>
      </c>
      <c r="B39" s="64">
        <v>116.14</v>
      </c>
      <c r="C39" s="58">
        <v>18.77</v>
      </c>
      <c r="D39" s="58">
        <v>3.43</v>
      </c>
      <c r="E39" s="59">
        <v>12.51</v>
      </c>
      <c r="F39" s="60">
        <v>15.45</v>
      </c>
      <c r="G39" s="60">
        <v>0</v>
      </c>
      <c r="H39" s="61">
        <v>3.34</v>
      </c>
      <c r="I39" s="62">
        <f>SUM(B39:F39)</f>
        <v>166.29999999999998</v>
      </c>
      <c r="J39" s="62">
        <f>SUM(I39)*19</f>
        <v>3159.7</v>
      </c>
      <c r="K39" s="13"/>
      <c r="L39" s="13"/>
      <c r="M39" s="213">
        <v>27</v>
      </c>
      <c r="N39" s="202">
        <f>SUM(N13*27)</f>
        <v>4490.1000000000004</v>
      </c>
      <c r="O39" s="202">
        <f>SUM(O13*27)</f>
        <v>3228.39</v>
      </c>
      <c r="P39" s="215">
        <f>SUM(P13*27)</f>
        <v>1261.7099999999998</v>
      </c>
    </row>
    <row r="40" spans="1:16" x14ac:dyDescent="0.25">
      <c r="A40" s="7"/>
      <c r="B40" s="8"/>
      <c r="C40" s="9"/>
      <c r="D40" s="9"/>
      <c r="E40" s="10"/>
      <c r="F40" s="10"/>
      <c r="G40" s="10"/>
      <c r="H40" s="10"/>
      <c r="I40" s="10"/>
      <c r="J40" s="10"/>
      <c r="K40" s="6"/>
      <c r="L40" s="6"/>
      <c r="M40" s="213">
        <v>28</v>
      </c>
      <c r="N40" s="202">
        <f>SUM(N13*28)</f>
        <v>4656.4000000000005</v>
      </c>
      <c r="O40" s="202">
        <f>SUM(O13*28)</f>
        <v>3347.96</v>
      </c>
      <c r="P40" s="215">
        <f>SUM(P13*28)</f>
        <v>1308.4399999999998</v>
      </c>
    </row>
    <row r="41" spans="1:16" x14ac:dyDescent="0.25">
      <c r="A41" s="11" t="s">
        <v>29</v>
      </c>
      <c r="B41" s="12" t="s">
        <v>30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223">
        <v>30</v>
      </c>
      <c r="N41" s="209">
        <f>SUM(N13*30)</f>
        <v>4989</v>
      </c>
      <c r="O41" s="209">
        <v>3539</v>
      </c>
      <c r="P41" s="220">
        <f>SUM(N41-O41)</f>
        <v>1450</v>
      </c>
    </row>
    <row r="42" spans="1:16" x14ac:dyDescent="0.25">
      <c r="A42" s="11" t="s">
        <v>29</v>
      </c>
      <c r="B42" s="12" t="s">
        <v>42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x14ac:dyDescent="0.25">
      <c r="A43" s="11" t="s">
        <v>29</v>
      </c>
      <c r="B43" s="12" t="s">
        <v>43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ht="15.75" x14ac:dyDescent="0.25">
      <c r="B45" s="3"/>
    </row>
  </sheetData>
  <mergeCells count="7">
    <mergeCell ref="H33:H34"/>
    <mergeCell ref="A33:A34"/>
    <mergeCell ref="B33:B34"/>
    <mergeCell ref="C33:C34"/>
    <mergeCell ref="E33:E34"/>
    <mergeCell ref="F33:F34"/>
    <mergeCell ref="G33:G34"/>
  </mergeCells>
  <pageMargins left="0.7" right="0.7" top="0.78740157499999996" bottom="0.78740157499999996" header="0.3" footer="0.3"/>
  <pageSetup paperSize="9" orientation="portrait" r:id="rId1"/>
  <headerFooter>
    <oddFooter xml:space="preserve">&amp;LStand: 01.01.2024&amp;RFreigabe: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3594-0C21-4165-A75B-876D6E8F2821}">
  <dimension ref="A7:R45"/>
  <sheetViews>
    <sheetView tabSelected="1" view="pageLayout" zoomScaleNormal="100" workbookViewId="0">
      <selection activeCell="U11" sqref="U11"/>
    </sheetView>
  </sheetViews>
  <sheetFormatPr baseColWidth="10" defaultRowHeight="15" x14ac:dyDescent="0.25"/>
  <cols>
    <col min="1" max="1" width="4.7109375" customWidth="1"/>
    <col min="2" max="3" width="10" customWidth="1"/>
    <col min="4" max="4" width="9.42578125" customWidth="1"/>
    <col min="5" max="5" width="9.85546875" customWidth="1"/>
    <col min="6" max="6" width="14.5703125" hidden="1" customWidth="1"/>
    <col min="7" max="7" width="13.42578125" hidden="1" customWidth="1"/>
    <col min="8" max="8" width="12.5703125" hidden="1" customWidth="1"/>
    <col min="9" max="9" width="0.140625" hidden="1" customWidth="1"/>
    <col min="10" max="10" width="9.42578125" hidden="1" customWidth="1"/>
    <col min="11" max="11" width="9.7109375" customWidth="1"/>
    <col min="12" max="12" width="0.140625" customWidth="1"/>
    <col min="13" max="13" width="7.7109375" customWidth="1"/>
    <col min="14" max="14" width="11" customWidth="1"/>
    <col min="15" max="15" width="10.42578125" customWidth="1"/>
    <col min="16" max="16" width="11" customWidth="1"/>
    <col min="17" max="17" width="0.140625" hidden="1" customWidth="1"/>
    <col min="18" max="18" width="11.42578125" hidden="1" customWidth="1"/>
  </cols>
  <sheetData>
    <row r="7" spans="1:18" ht="30" customHeight="1" x14ac:dyDescent="0.3">
      <c r="B7" s="86" t="s">
        <v>46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8" ht="24" customHeight="1" x14ac:dyDescent="0.25">
      <c r="M8" t="s">
        <v>32</v>
      </c>
    </row>
    <row r="9" spans="1:18" ht="24" customHeight="1" thickBot="1" x14ac:dyDescent="0.3">
      <c r="A9" t="s">
        <v>31</v>
      </c>
      <c r="M9" s="210" t="s">
        <v>14</v>
      </c>
      <c r="N9" s="198" t="s">
        <v>15</v>
      </c>
      <c r="O9" s="198" t="s">
        <v>4</v>
      </c>
      <c r="P9" s="199" t="s">
        <v>4</v>
      </c>
      <c r="Q9" s="200" t="s">
        <v>37</v>
      </c>
      <c r="R9" s="201"/>
    </row>
    <row r="10" spans="1:18" ht="17.25" customHeight="1" x14ac:dyDescent="0.25">
      <c r="A10" s="69"/>
      <c r="B10" s="1" t="s">
        <v>0</v>
      </c>
      <c r="C10" s="1"/>
      <c r="D10" s="1"/>
      <c r="E10" s="2"/>
      <c r="K10" s="53"/>
      <c r="L10" s="53"/>
      <c r="M10" s="211"/>
      <c r="N10" s="202" t="s">
        <v>16</v>
      </c>
      <c r="O10" s="202" t="s">
        <v>17</v>
      </c>
      <c r="P10" s="203" t="s">
        <v>18</v>
      </c>
      <c r="Q10" s="204"/>
      <c r="R10" s="201"/>
    </row>
    <row r="11" spans="1:18" ht="15.75" thickBot="1" x14ac:dyDescent="0.3">
      <c r="A11" s="72"/>
      <c r="B11" s="53"/>
      <c r="C11" s="73" t="s">
        <v>1</v>
      </c>
      <c r="D11" s="73"/>
      <c r="E11" s="74"/>
      <c r="F11" s="75"/>
      <c r="G11" s="75"/>
      <c r="H11" s="75"/>
      <c r="I11" s="75"/>
      <c r="J11" s="75"/>
      <c r="K11" s="53"/>
      <c r="L11" s="53"/>
      <c r="M11" s="210"/>
      <c r="N11" s="198"/>
      <c r="O11" s="198" t="s">
        <v>19</v>
      </c>
      <c r="P11" s="205"/>
      <c r="Q11" s="206"/>
      <c r="R11" s="201"/>
    </row>
    <row r="12" spans="1:18" ht="15.75" thickBot="1" x14ac:dyDescent="0.3">
      <c r="A12" s="77" t="s">
        <v>2</v>
      </c>
      <c r="B12" s="53" t="s">
        <v>3</v>
      </c>
      <c r="C12" s="78" t="s">
        <v>4</v>
      </c>
      <c r="D12" s="78" t="s">
        <v>5</v>
      </c>
      <c r="E12" s="79"/>
      <c r="F12" s="80"/>
      <c r="G12" s="81"/>
      <c r="H12" s="81"/>
      <c r="I12" s="81"/>
      <c r="J12" s="81"/>
      <c r="K12" s="53"/>
      <c r="L12" s="53"/>
      <c r="M12" s="210">
        <v>1</v>
      </c>
      <c r="N12" s="221">
        <v>166.3</v>
      </c>
      <c r="O12" s="221">
        <v>119.57</v>
      </c>
      <c r="P12" s="207">
        <v>46.73</v>
      </c>
      <c r="Q12" s="206"/>
      <c r="R12" s="201"/>
    </row>
    <row r="13" spans="1:18" x14ac:dyDescent="0.25">
      <c r="A13" s="77" t="s">
        <v>7</v>
      </c>
      <c r="B13" s="53"/>
      <c r="C13" s="82" t="s">
        <v>2</v>
      </c>
      <c r="D13" s="82" t="s">
        <v>8</v>
      </c>
      <c r="E13" s="242" t="s">
        <v>33</v>
      </c>
      <c r="F13" s="84"/>
      <c r="G13" s="85"/>
      <c r="H13" s="85"/>
      <c r="I13" s="85"/>
      <c r="J13" s="114"/>
      <c r="L13" s="53"/>
      <c r="M13" s="212">
        <v>2</v>
      </c>
      <c r="N13" s="198">
        <f>SUM(N12*2)</f>
        <v>332.6</v>
      </c>
      <c r="O13" s="198">
        <f>SUM(O12*2)</f>
        <v>239.14</v>
      </c>
      <c r="P13" s="207">
        <f>SUM(P12*2)</f>
        <v>93.46</v>
      </c>
      <c r="Q13" s="206"/>
      <c r="R13" s="201"/>
    </row>
    <row r="14" spans="1:18" ht="18" customHeight="1" thickBot="1" x14ac:dyDescent="0.3">
      <c r="A14" s="14"/>
      <c r="C14" s="15" t="s">
        <v>10</v>
      </c>
      <c r="D14" s="15" t="s">
        <v>11</v>
      </c>
      <c r="E14" s="243"/>
      <c r="F14" s="17"/>
      <c r="G14" s="18"/>
      <c r="H14" s="19">
        <v>0.15</v>
      </c>
      <c r="I14" s="19">
        <v>0.15</v>
      </c>
      <c r="J14" s="95"/>
      <c r="L14" s="91"/>
      <c r="M14" s="212">
        <v>3</v>
      </c>
      <c r="N14" s="198">
        <f>SUM(N12*3)</f>
        <v>498.90000000000003</v>
      </c>
      <c r="O14" s="198">
        <f>SUM(O12*3)</f>
        <v>358.71</v>
      </c>
      <c r="P14" s="207">
        <f>SUM(P12*3)</f>
        <v>140.19</v>
      </c>
      <c r="Q14" s="206"/>
      <c r="R14" s="201"/>
    </row>
    <row r="15" spans="1:18" x14ac:dyDescent="0.25">
      <c r="A15" s="20"/>
      <c r="B15" s="21"/>
      <c r="C15" s="22"/>
      <c r="D15" s="22"/>
      <c r="E15" s="115"/>
      <c r="F15" s="23"/>
      <c r="G15" s="24"/>
      <c r="H15" s="24"/>
      <c r="I15" s="24"/>
      <c r="J15" s="25"/>
      <c r="L15" s="88"/>
      <c r="M15" s="212">
        <v>4</v>
      </c>
      <c r="N15" s="198">
        <f>SUM(N12*4)</f>
        <v>665.2</v>
      </c>
      <c r="O15" s="198">
        <f>SUM(O12*4)</f>
        <v>478.28</v>
      </c>
      <c r="P15" s="207">
        <f>SUM(P12*4)</f>
        <v>186.92</v>
      </c>
      <c r="Q15" s="206"/>
      <c r="R15" s="201"/>
    </row>
    <row r="16" spans="1:18" x14ac:dyDescent="0.25">
      <c r="A16" s="26">
        <v>2</v>
      </c>
      <c r="B16" s="27">
        <f>SUM(J35)</f>
        <v>4277.0519999999997</v>
      </c>
      <c r="C16" s="28">
        <v>805</v>
      </c>
      <c r="D16" s="159">
        <f>SUM(D35)*30.42</f>
        <v>104.34060000000001</v>
      </c>
      <c r="E16" s="33">
        <f>SUM(B16-C16-H16)</f>
        <v>3164.4731899999997</v>
      </c>
      <c r="F16" s="30">
        <f>SUM(B35+D35)*30.42</f>
        <v>2855.5254000000004</v>
      </c>
      <c r="G16" s="31">
        <f>SUM(F16-C16)</f>
        <v>2050.5254000000004</v>
      </c>
      <c r="H16" s="31">
        <f>SUM(G16*15/100)</f>
        <v>307.57881000000009</v>
      </c>
      <c r="J16" s="32"/>
      <c r="L16" s="92"/>
      <c r="M16" s="212">
        <v>5</v>
      </c>
      <c r="N16" s="198">
        <f>SUM(N12*5)</f>
        <v>831.5</v>
      </c>
      <c r="O16" s="198">
        <f>SUM(O12*5)</f>
        <v>597.84999999999991</v>
      </c>
      <c r="P16" s="207">
        <f>SUM(P12*5)</f>
        <v>233.64999999999998</v>
      </c>
      <c r="Q16" s="206"/>
      <c r="R16" s="201"/>
    </row>
    <row r="17" spans="1:18" ht="15.75" thickBot="1" x14ac:dyDescent="0.3">
      <c r="A17" s="34"/>
      <c r="B17" s="35"/>
      <c r="C17" s="36"/>
      <c r="D17" s="160"/>
      <c r="E17" s="4"/>
      <c r="F17" s="37"/>
      <c r="G17" s="38"/>
      <c r="H17" s="38"/>
      <c r="J17" s="39"/>
      <c r="L17" s="93"/>
      <c r="M17" s="212">
        <v>6</v>
      </c>
      <c r="N17" s="198">
        <f>SUM(N12*6)</f>
        <v>997.80000000000007</v>
      </c>
      <c r="O17" s="198">
        <f>SUM(O12*6)</f>
        <v>717.42</v>
      </c>
      <c r="P17" s="207">
        <f>SUM(P12*6)</f>
        <v>280.38</v>
      </c>
      <c r="Q17" s="206"/>
      <c r="R17" s="201"/>
    </row>
    <row r="18" spans="1:18" x14ac:dyDescent="0.25">
      <c r="A18" s="20"/>
      <c r="B18" s="40"/>
      <c r="C18" s="41"/>
      <c r="D18" s="161"/>
      <c r="E18" s="45"/>
      <c r="F18" s="42"/>
      <c r="G18" s="43"/>
      <c r="H18" s="43"/>
      <c r="J18" s="44"/>
      <c r="L18" s="93"/>
      <c r="M18" s="212">
        <v>7</v>
      </c>
      <c r="N18" s="198">
        <f>SUM(N12*7)</f>
        <v>1164.1000000000001</v>
      </c>
      <c r="O18" s="198">
        <f>SUM(O12*7)</f>
        <v>836.99</v>
      </c>
      <c r="P18" s="207">
        <f>SUM(P12*7)</f>
        <v>327.10999999999996</v>
      </c>
      <c r="Q18" s="206"/>
      <c r="R18" s="201"/>
    </row>
    <row r="19" spans="1:18" x14ac:dyDescent="0.25">
      <c r="A19" s="26">
        <v>3</v>
      </c>
      <c r="B19" s="46">
        <f>SUM(J36)</f>
        <v>4790.8458000000001</v>
      </c>
      <c r="C19" s="28">
        <v>1319</v>
      </c>
      <c r="D19" s="159">
        <f>SUM(D36)*30.42</f>
        <v>104.34060000000001</v>
      </c>
      <c r="E19" s="47">
        <f>SUM(B19-C19-H19)</f>
        <v>3164.29792</v>
      </c>
      <c r="F19" s="30">
        <f>SUM(B36+D36)*30.42</f>
        <v>3369.3192000000004</v>
      </c>
      <c r="G19" s="31">
        <f>SUM(F19-C19)</f>
        <v>2050.3192000000004</v>
      </c>
      <c r="H19" s="31">
        <f>SUM(G19*15/100)</f>
        <v>307.54788000000002</v>
      </c>
      <c r="J19" s="32"/>
      <c r="L19" s="92"/>
      <c r="M19" s="212">
        <v>8</v>
      </c>
      <c r="N19" s="198">
        <f>SUM(N12*8)</f>
        <v>1330.4</v>
      </c>
      <c r="O19" s="198">
        <f>SUM(O12*8)</f>
        <v>956.56</v>
      </c>
      <c r="P19" s="207">
        <f>SUM(P12*8)</f>
        <v>373.84</v>
      </c>
      <c r="Q19" s="206"/>
      <c r="R19" s="201"/>
    </row>
    <row r="20" spans="1:18" ht="15.75" thickBot="1" x14ac:dyDescent="0.3">
      <c r="A20" s="34"/>
      <c r="B20" s="35"/>
      <c r="C20" s="36"/>
      <c r="D20" s="160"/>
      <c r="E20" s="4"/>
      <c r="F20" s="37"/>
      <c r="G20" s="38"/>
      <c r="H20" s="38"/>
      <c r="J20" s="39"/>
      <c r="L20" s="93"/>
      <c r="M20" s="212">
        <v>9</v>
      </c>
      <c r="N20" s="198">
        <f>SUM(N12*9)</f>
        <v>1496.7</v>
      </c>
      <c r="O20" s="198">
        <f>SUM(O12*9)</f>
        <v>1076.1299999999999</v>
      </c>
      <c r="P20" s="207">
        <f>SUM(P12*9)</f>
        <v>420.57</v>
      </c>
      <c r="Q20" s="206"/>
      <c r="R20" s="201"/>
    </row>
    <row r="21" spans="1:18" x14ac:dyDescent="0.25">
      <c r="A21" s="20"/>
      <c r="B21" s="40"/>
      <c r="C21" s="41"/>
      <c r="D21" s="161"/>
      <c r="E21" s="45"/>
      <c r="F21" s="42"/>
      <c r="G21" s="43"/>
      <c r="H21" s="43"/>
      <c r="J21" s="44"/>
      <c r="L21" s="93"/>
      <c r="M21" s="212">
        <v>10</v>
      </c>
      <c r="N21" s="198">
        <f>SUM(N12*10)</f>
        <v>1663</v>
      </c>
      <c r="O21" s="198">
        <f>SUM(O12*10)</f>
        <v>1195.6999999999998</v>
      </c>
      <c r="P21" s="207">
        <f>SUM(P12*10)</f>
        <v>467.29999999999995</v>
      </c>
      <c r="Q21" s="206"/>
      <c r="R21" s="201"/>
    </row>
    <row r="22" spans="1:18" x14ac:dyDescent="0.25">
      <c r="A22" s="26">
        <v>4</v>
      </c>
      <c r="B22" s="46">
        <f>SUM(J37)</f>
        <v>5326.8462</v>
      </c>
      <c r="C22" s="28">
        <v>1855</v>
      </c>
      <c r="D22" s="159">
        <f>SUM(D37)*30.42</f>
        <v>104.34060000000001</v>
      </c>
      <c r="E22" s="47">
        <f>SUM(B22-C22-H22)</f>
        <v>3164.29826</v>
      </c>
      <c r="F22" s="30">
        <f>SUM(B37+D37)*30.42</f>
        <v>3905.3196000000003</v>
      </c>
      <c r="G22" s="31">
        <f>SUM(F22-C22)</f>
        <v>2050.3196000000003</v>
      </c>
      <c r="H22" s="31">
        <f>SUM(G22*15/100)</f>
        <v>307.54794000000004</v>
      </c>
      <c r="J22" s="32"/>
      <c r="L22" s="92"/>
      <c r="M22" s="212">
        <v>11</v>
      </c>
      <c r="N22" s="198">
        <f>SUM(N12*11)</f>
        <v>1829.3000000000002</v>
      </c>
      <c r="O22" s="198">
        <f>SUM(O12*11)</f>
        <v>1315.27</v>
      </c>
      <c r="P22" s="207">
        <f>SUM(P12*11)</f>
        <v>514.03</v>
      </c>
      <c r="Q22" s="206"/>
      <c r="R22" s="201"/>
    </row>
    <row r="23" spans="1:18" ht="15.75" thickBot="1" x14ac:dyDescent="0.3">
      <c r="A23" s="34"/>
      <c r="B23" s="35"/>
      <c r="C23" s="36"/>
      <c r="D23" s="160"/>
      <c r="E23" s="4"/>
      <c r="F23" s="37"/>
      <c r="G23" s="38"/>
      <c r="H23" s="38"/>
      <c r="J23" s="39"/>
      <c r="L23" s="93"/>
      <c r="M23" s="212">
        <v>12</v>
      </c>
      <c r="N23" s="198">
        <f>SUM(N12*12)</f>
        <v>1995.6000000000001</v>
      </c>
      <c r="O23" s="198">
        <f>SUM(O12*12)</f>
        <v>1434.84</v>
      </c>
      <c r="P23" s="207">
        <f>SUM(P12*12)</f>
        <v>560.76</v>
      </c>
      <c r="Q23" s="206"/>
      <c r="R23" s="201"/>
    </row>
    <row r="24" spans="1:18" x14ac:dyDescent="0.25">
      <c r="A24" s="20"/>
      <c r="B24" s="40"/>
      <c r="C24" s="41"/>
      <c r="D24" s="161"/>
      <c r="E24" s="45"/>
      <c r="F24" s="42"/>
      <c r="G24" s="43"/>
      <c r="H24" s="43"/>
      <c r="J24" s="44"/>
      <c r="L24" s="93"/>
      <c r="M24" s="212">
        <v>13</v>
      </c>
      <c r="N24" s="198">
        <f>SUM(N12*13)</f>
        <v>2161.9</v>
      </c>
      <c r="O24" s="198">
        <f>SUM(O12*13)</f>
        <v>1554.4099999999999</v>
      </c>
      <c r="P24" s="207">
        <f>SUM(P12*13)</f>
        <v>607.49</v>
      </c>
      <c r="Q24" s="206"/>
      <c r="R24" s="201"/>
    </row>
    <row r="25" spans="1:18" x14ac:dyDescent="0.25">
      <c r="A25" s="26">
        <v>5</v>
      </c>
      <c r="B25" s="46">
        <f>SUM(J38)</f>
        <v>5568.0767999999998</v>
      </c>
      <c r="C25" s="28">
        <v>2096</v>
      </c>
      <c r="D25" s="159">
        <f>SUM(D38)*30.42</f>
        <v>104.34060000000001</v>
      </c>
      <c r="E25" s="47">
        <f>SUM(B25-C25-H25)</f>
        <v>3164.4942699999997</v>
      </c>
      <c r="F25" s="30">
        <f>SUM(B38+D38)*30.42</f>
        <v>4146.5502000000006</v>
      </c>
      <c r="G25" s="31">
        <f>SUM(F25-C25)</f>
        <v>2050.5502000000006</v>
      </c>
      <c r="H25" s="31">
        <f>SUM(G25*15/100)</f>
        <v>307.58253000000008</v>
      </c>
      <c r="J25" s="32"/>
      <c r="L25" s="92"/>
      <c r="M25" s="212">
        <v>14</v>
      </c>
      <c r="N25" s="198">
        <f>SUM(N12*14)</f>
        <v>2328.2000000000003</v>
      </c>
      <c r="O25" s="198">
        <f>SUM(O12*14)</f>
        <v>1673.98</v>
      </c>
      <c r="P25" s="215">
        <f>SUM(P12*14)</f>
        <v>654.21999999999991</v>
      </c>
      <c r="Q25" s="206"/>
      <c r="R25" s="201"/>
    </row>
    <row r="26" spans="1:18" ht="15.75" thickBot="1" x14ac:dyDescent="0.3">
      <c r="A26" s="26"/>
      <c r="B26" s="141"/>
      <c r="C26" s="103"/>
      <c r="D26" s="162"/>
      <c r="E26" s="52"/>
      <c r="F26" s="23"/>
      <c r="G26" s="24"/>
      <c r="H26" s="24"/>
      <c r="J26" s="25"/>
      <c r="L26" s="93"/>
      <c r="M26" s="212">
        <v>15</v>
      </c>
      <c r="N26" s="208">
        <f>SUM(N12*15)</f>
        <v>2494.5</v>
      </c>
      <c r="O26" s="198">
        <f>SUM(O12*15)</f>
        <v>1793.55</v>
      </c>
      <c r="P26" s="215">
        <f>SUM(P12*15)</f>
        <v>700.94999999999993</v>
      </c>
      <c r="Q26" s="206"/>
      <c r="R26" s="201"/>
    </row>
    <row r="27" spans="1:18" x14ac:dyDescent="0.25">
      <c r="A27" s="142"/>
      <c r="B27" s="143"/>
      <c r="C27" s="105"/>
      <c r="D27" s="163"/>
      <c r="E27" s="147"/>
      <c r="F27" s="144"/>
      <c r="G27" s="145"/>
      <c r="H27" s="145"/>
      <c r="I27" s="145"/>
      <c r="J27" s="146"/>
      <c r="L27" s="93"/>
      <c r="M27" s="212">
        <v>16</v>
      </c>
      <c r="N27" s="201">
        <f>SUM(N12*16)</f>
        <v>2660.8</v>
      </c>
      <c r="O27" s="201">
        <f>SUM(O12*16)</f>
        <v>1913.12</v>
      </c>
      <c r="P27" s="216">
        <f>SUM(P12*16)</f>
        <v>747.68</v>
      </c>
      <c r="Q27" s="206"/>
      <c r="R27" s="201"/>
    </row>
    <row r="28" spans="1:18" x14ac:dyDescent="0.25">
      <c r="A28" s="130" t="s">
        <v>13</v>
      </c>
      <c r="B28" s="46">
        <v>4989</v>
      </c>
      <c r="C28" s="108">
        <v>3539</v>
      </c>
      <c r="D28" s="159"/>
      <c r="E28" s="227">
        <f>SUM(B28-C28)</f>
        <v>1450</v>
      </c>
      <c r="F28" s="30"/>
      <c r="G28" s="31"/>
      <c r="H28" s="31"/>
      <c r="I28" s="31"/>
      <c r="J28" s="32"/>
      <c r="L28" s="94"/>
      <c r="M28" s="212">
        <v>17</v>
      </c>
      <c r="N28" s="198">
        <f>SUM(N12*17)</f>
        <v>2827.1000000000004</v>
      </c>
      <c r="O28" s="198">
        <v>1854</v>
      </c>
      <c r="P28" s="215">
        <v>853.93</v>
      </c>
      <c r="Q28" s="201"/>
      <c r="R28" s="201"/>
    </row>
    <row r="29" spans="1:18" ht="15.75" thickBot="1" x14ac:dyDescent="0.3">
      <c r="A29" s="136" t="s">
        <v>40</v>
      </c>
      <c r="B29" s="137"/>
      <c r="C29" s="140"/>
      <c r="D29" s="165"/>
      <c r="E29" s="151"/>
      <c r="F29" s="148"/>
      <c r="G29" s="149"/>
      <c r="H29" s="149"/>
      <c r="I29" s="149"/>
      <c r="J29" s="150"/>
      <c r="L29" s="94"/>
      <c r="M29" s="213">
        <v>18</v>
      </c>
      <c r="N29" s="202">
        <f>SUM(N12*18)</f>
        <v>2993.4</v>
      </c>
      <c r="O29" s="202">
        <f>SUM(O12*18)</f>
        <v>2152.2599999999998</v>
      </c>
      <c r="P29" s="215">
        <f>SUM(P12*18)</f>
        <v>841.14</v>
      </c>
      <c r="Q29" s="201"/>
      <c r="R29" s="201"/>
    </row>
    <row r="30" spans="1:18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M30" s="213">
        <v>19</v>
      </c>
      <c r="N30" s="202">
        <f>SUM(N12*19)</f>
        <v>3159.7000000000003</v>
      </c>
      <c r="O30" s="202">
        <f>SUM(O12*19)</f>
        <v>2271.83</v>
      </c>
      <c r="P30" s="215">
        <f>SUM(P12*19)</f>
        <v>887.86999999999989</v>
      </c>
      <c r="Q30" s="201"/>
      <c r="R30" s="201"/>
    </row>
    <row r="31" spans="1:18" x14ac:dyDescent="0.25">
      <c r="M31" s="213">
        <v>20</v>
      </c>
      <c r="N31" s="202">
        <f>SUM(N12*20)</f>
        <v>3326</v>
      </c>
      <c r="O31" s="202">
        <f>SUM(O12*20)</f>
        <v>2391.3999999999996</v>
      </c>
      <c r="P31" s="215">
        <f>SUM(P12*20)</f>
        <v>934.59999999999991</v>
      </c>
      <c r="Q31" s="201"/>
      <c r="R31" s="201"/>
    </row>
    <row r="32" spans="1:18" x14ac:dyDescent="0.25">
      <c r="A32" s="5" t="s">
        <v>20</v>
      </c>
      <c r="B32" s="66"/>
      <c r="C32" s="66"/>
      <c r="D32" s="66"/>
      <c r="E32" s="67"/>
      <c r="F32" s="68"/>
      <c r="G32" s="12"/>
      <c r="H32" s="12"/>
      <c r="I32" s="12"/>
      <c r="J32" s="12"/>
      <c r="K32" s="12"/>
      <c r="M32" s="213">
        <v>21</v>
      </c>
      <c r="N32" s="202">
        <f>SUM(N12*21)</f>
        <v>3492.3</v>
      </c>
      <c r="O32" s="202">
        <f>SUM(O12*21)</f>
        <v>2510.9699999999998</v>
      </c>
      <c r="P32" s="215">
        <f>SUM(P12*21)</f>
        <v>981.32999999999993</v>
      </c>
      <c r="Q32" s="201"/>
      <c r="R32" s="201"/>
    </row>
    <row r="33" spans="1:18" x14ac:dyDescent="0.25">
      <c r="A33" s="244" t="s">
        <v>21</v>
      </c>
      <c r="B33" s="244" t="s">
        <v>22</v>
      </c>
      <c r="C33" s="244" t="s">
        <v>23</v>
      </c>
      <c r="D33" s="55" t="s">
        <v>5</v>
      </c>
      <c r="E33" s="245" t="s">
        <v>24</v>
      </c>
      <c r="F33" s="246" t="s">
        <v>25</v>
      </c>
      <c r="G33" s="244" t="s">
        <v>26</v>
      </c>
      <c r="H33" s="244" t="s">
        <v>27</v>
      </c>
      <c r="I33" s="54"/>
      <c r="J33" s="54"/>
      <c r="M33" s="213">
        <v>22</v>
      </c>
      <c r="N33" s="202">
        <f>SUM(N12*22)</f>
        <v>3658.6000000000004</v>
      </c>
      <c r="O33" s="202">
        <f>SUM(O12*22)</f>
        <v>2630.54</v>
      </c>
      <c r="P33" s="215">
        <f>SUM(P12*22)</f>
        <v>1028.06</v>
      </c>
      <c r="Q33" s="201"/>
      <c r="R33" s="201"/>
    </row>
    <row r="34" spans="1:18" x14ac:dyDescent="0.25">
      <c r="A34" s="244"/>
      <c r="B34" s="244"/>
      <c r="C34" s="244"/>
      <c r="D34" s="55" t="s">
        <v>39</v>
      </c>
      <c r="E34" s="245"/>
      <c r="F34" s="246"/>
      <c r="G34" s="244"/>
      <c r="H34" s="244"/>
      <c r="I34" s="54"/>
      <c r="J34" s="54"/>
      <c r="M34" s="213">
        <v>23</v>
      </c>
      <c r="N34" s="202">
        <f>SUM(N12*23)</f>
        <v>3824.9</v>
      </c>
      <c r="O34" s="202">
        <f>SUM(O12*23)</f>
        <v>2750.1099999999997</v>
      </c>
      <c r="P34" s="215">
        <f>SUM(P12*23)</f>
        <v>1074.79</v>
      </c>
      <c r="Q34" s="201"/>
      <c r="R34" s="201"/>
    </row>
    <row r="35" spans="1:18" x14ac:dyDescent="0.25">
      <c r="A35" s="56">
        <v>2</v>
      </c>
      <c r="B35" s="57">
        <v>90.44</v>
      </c>
      <c r="C35" s="58">
        <v>18.77</v>
      </c>
      <c r="D35" s="58">
        <v>3.43</v>
      </c>
      <c r="E35" s="59">
        <v>12.51</v>
      </c>
      <c r="F35" s="60">
        <v>15.45</v>
      </c>
      <c r="G35" s="60">
        <v>0</v>
      </c>
      <c r="H35" s="58">
        <v>0</v>
      </c>
      <c r="I35" s="62">
        <f>SUM(B35:F35)</f>
        <v>140.6</v>
      </c>
      <c r="J35" s="62">
        <f>SUM(I35)*30.42</f>
        <v>4277.0519999999997</v>
      </c>
      <c r="K35" s="90"/>
      <c r="L35" s="13"/>
      <c r="M35" s="213">
        <v>24</v>
      </c>
      <c r="N35" s="202">
        <f>SUM(N12*24)</f>
        <v>3991.2000000000003</v>
      </c>
      <c r="O35" s="202">
        <f>SUM(O12*24)</f>
        <v>2869.68</v>
      </c>
      <c r="P35" s="215">
        <f>SUM(P12*24)</f>
        <v>1121.52</v>
      </c>
      <c r="Q35" s="201"/>
      <c r="R35" s="201"/>
    </row>
    <row r="36" spans="1:18" x14ac:dyDescent="0.25">
      <c r="A36" s="63">
        <v>3</v>
      </c>
      <c r="B36" s="64">
        <v>107.33</v>
      </c>
      <c r="C36" s="58">
        <v>18.77</v>
      </c>
      <c r="D36" s="58">
        <v>3.43</v>
      </c>
      <c r="E36" s="59">
        <v>12.51</v>
      </c>
      <c r="F36" s="60">
        <v>15.45</v>
      </c>
      <c r="G36" s="60">
        <v>0</v>
      </c>
      <c r="H36" s="58">
        <v>0</v>
      </c>
      <c r="I36" s="62">
        <f>SUM(B36:F36)</f>
        <v>157.48999999999998</v>
      </c>
      <c r="J36" s="62">
        <f>SUM(I36)*30.42</f>
        <v>4790.8458000000001</v>
      </c>
      <c r="K36" s="13"/>
      <c r="L36" s="13"/>
      <c r="M36" s="213">
        <v>25</v>
      </c>
      <c r="N36" s="202">
        <f>SUM(N12*25)</f>
        <v>4157.5</v>
      </c>
      <c r="O36" s="202">
        <f>SUM(O12*25)</f>
        <v>2989.25</v>
      </c>
      <c r="P36" s="215">
        <f>SUM(P12*25)</f>
        <v>1168.25</v>
      </c>
      <c r="Q36" s="201"/>
      <c r="R36" s="201"/>
    </row>
    <row r="37" spans="1:18" x14ac:dyDescent="0.25">
      <c r="A37" s="63">
        <v>4</v>
      </c>
      <c r="B37" s="64">
        <v>124.95</v>
      </c>
      <c r="C37" s="58">
        <v>18.77</v>
      </c>
      <c r="D37" s="58">
        <v>3.43</v>
      </c>
      <c r="E37" s="59">
        <v>12.51</v>
      </c>
      <c r="F37" s="60">
        <v>15.45</v>
      </c>
      <c r="G37" s="60">
        <v>0</v>
      </c>
      <c r="H37" s="58">
        <v>0</v>
      </c>
      <c r="I37" s="62">
        <f>SUM(B37:F37)</f>
        <v>175.10999999999999</v>
      </c>
      <c r="J37" s="62">
        <f>SUM(I37)*30.42</f>
        <v>5326.8462</v>
      </c>
      <c r="K37" s="13"/>
      <c r="L37" s="13"/>
      <c r="M37" s="213">
        <v>26</v>
      </c>
      <c r="N37" s="202">
        <f>SUM(N12*26)</f>
        <v>4323.8</v>
      </c>
      <c r="O37" s="202">
        <f>SUM(O12*26)</f>
        <v>3108.8199999999997</v>
      </c>
      <c r="P37" s="215">
        <f>SUM(P12*26)</f>
        <v>1214.98</v>
      </c>
      <c r="Q37" s="201"/>
      <c r="R37" s="201"/>
    </row>
    <row r="38" spans="1:18" x14ac:dyDescent="0.25">
      <c r="A38" s="63">
        <v>5</v>
      </c>
      <c r="B38" s="64">
        <v>132.88</v>
      </c>
      <c r="C38" s="58">
        <v>18.77</v>
      </c>
      <c r="D38" s="58">
        <v>3.43</v>
      </c>
      <c r="E38" s="59">
        <v>12.51</v>
      </c>
      <c r="F38" s="60">
        <v>15.45</v>
      </c>
      <c r="G38" s="60">
        <v>0</v>
      </c>
      <c r="H38" s="58">
        <v>0</v>
      </c>
      <c r="I38" s="62">
        <f>SUM(B38:F38)</f>
        <v>183.04</v>
      </c>
      <c r="J38" s="62">
        <f>SUM(I38)*30.42</f>
        <v>5568.0767999999998</v>
      </c>
      <c r="K38" s="13"/>
      <c r="L38" s="13"/>
      <c r="M38" s="213">
        <v>27</v>
      </c>
      <c r="N38" s="202">
        <f>SUM(N12*27)</f>
        <v>4490.1000000000004</v>
      </c>
      <c r="O38" s="202">
        <f>SUM(O12*27)</f>
        <v>3228.39</v>
      </c>
      <c r="P38" s="215">
        <f>SUM(P12*27)</f>
        <v>1261.7099999999998</v>
      </c>
      <c r="Q38" s="201"/>
      <c r="R38" s="201"/>
    </row>
    <row r="39" spans="1:18" x14ac:dyDescent="0.25">
      <c r="A39" s="65" t="s">
        <v>13</v>
      </c>
      <c r="B39" s="64">
        <v>116.14</v>
      </c>
      <c r="C39" s="58">
        <v>18.77</v>
      </c>
      <c r="D39" s="58">
        <v>3.43</v>
      </c>
      <c r="E39" s="59">
        <v>12.51</v>
      </c>
      <c r="F39" s="60">
        <v>15.45</v>
      </c>
      <c r="G39" s="60">
        <v>0</v>
      </c>
      <c r="H39" s="58">
        <v>0</v>
      </c>
      <c r="I39" s="62">
        <f>SUM(B39:F39)</f>
        <v>166.29999999999998</v>
      </c>
      <c r="J39" s="62">
        <f>SUM(I39)*19</f>
        <v>3159.7</v>
      </c>
      <c r="K39" s="13"/>
      <c r="L39" s="13"/>
      <c r="M39" s="213">
        <v>28</v>
      </c>
      <c r="N39" s="202">
        <f>SUM(N12*28)</f>
        <v>4656.4000000000005</v>
      </c>
      <c r="O39" s="202">
        <f>SUM(O12*28)</f>
        <v>3347.96</v>
      </c>
      <c r="P39" s="215">
        <f>SUM(P12*28)</f>
        <v>1308.4399999999998</v>
      </c>
      <c r="Q39" s="201"/>
      <c r="R39" s="201"/>
    </row>
    <row r="40" spans="1:18" x14ac:dyDescent="0.25">
      <c r="A40" s="7"/>
      <c r="B40" s="8"/>
      <c r="C40" s="9"/>
      <c r="D40" s="9"/>
      <c r="E40" s="10"/>
      <c r="F40" s="10"/>
      <c r="G40" s="10"/>
      <c r="H40" s="10"/>
      <c r="I40" s="10"/>
      <c r="J40" s="10"/>
      <c r="K40" s="6"/>
      <c r="L40" s="6"/>
      <c r="M40" s="214">
        <v>29</v>
      </c>
      <c r="N40" s="201">
        <f>SUM(N12*29)</f>
        <v>4822.7000000000007</v>
      </c>
      <c r="O40" s="201">
        <f>SUM(O12*29)</f>
        <v>3467.5299999999997</v>
      </c>
      <c r="P40" s="217">
        <f>SUM(P12*29)</f>
        <v>1355.1699999999998</v>
      </c>
      <c r="Q40" s="201"/>
      <c r="R40" s="201"/>
    </row>
    <row r="41" spans="1:18" x14ac:dyDescent="0.25">
      <c r="A41" s="11" t="s">
        <v>29</v>
      </c>
      <c r="B41" s="12" t="s">
        <v>30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214">
        <v>30</v>
      </c>
      <c r="N41" s="201">
        <f>SUM(N12*30)</f>
        <v>4989</v>
      </c>
      <c r="O41" s="201">
        <v>3539</v>
      </c>
      <c r="P41" s="217">
        <f>SUM(N41-O41)</f>
        <v>1450</v>
      </c>
      <c r="Q41" s="12"/>
    </row>
    <row r="42" spans="1:18" x14ac:dyDescent="0.25">
      <c r="A42" s="11" t="s">
        <v>29</v>
      </c>
      <c r="B42" s="12" t="s">
        <v>42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8" x14ac:dyDescent="0.25">
      <c r="A43" s="11" t="s">
        <v>29</v>
      </c>
      <c r="B43" s="12" t="s">
        <v>43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8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8" ht="15.75" x14ac:dyDescent="0.25">
      <c r="B45" s="3"/>
    </row>
  </sheetData>
  <mergeCells count="8">
    <mergeCell ref="E13:E14"/>
    <mergeCell ref="H33:H34"/>
    <mergeCell ref="A33:A34"/>
    <mergeCell ref="B33:B34"/>
    <mergeCell ref="C33:C34"/>
    <mergeCell ref="E33:E34"/>
    <mergeCell ref="F33:F34"/>
    <mergeCell ref="G33:G34"/>
  </mergeCells>
  <pageMargins left="1.0416666666666666E-2" right="0.7" top="0.78740157499999996" bottom="0.78740157499999996" header="0.3" footer="0.3"/>
  <pageSetup paperSize="9" orientation="portrait" r:id="rId1"/>
  <headerFooter>
    <oddFooter xml:space="preserve">&amp;LStand: 01.01.2024&amp;RFreigabe: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D11D-74EB-47A0-B219-A7AB4FA07059}">
  <dimension ref="A6:AH45"/>
  <sheetViews>
    <sheetView showWhiteSpace="0" view="pageLayout" zoomScaleNormal="100" workbookViewId="0">
      <selection activeCell="B6" sqref="B6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9.85546875" customWidth="1"/>
    <col min="4" max="4" width="10.7109375" customWidth="1"/>
    <col min="5" max="5" width="10.140625" hidden="1" customWidth="1"/>
    <col min="6" max="6" width="18" hidden="1" customWidth="1"/>
    <col min="7" max="7" width="0.140625" customWidth="1"/>
    <col min="8" max="8" width="16.85546875" hidden="1" customWidth="1"/>
    <col min="9" max="9" width="11" customWidth="1"/>
    <col min="10" max="10" width="0.140625" customWidth="1"/>
    <col min="11" max="11" width="1" hidden="1" customWidth="1"/>
    <col min="12" max="12" width="6.7109375" customWidth="1"/>
    <col min="13" max="13" width="3" customWidth="1"/>
    <col min="14" max="14" width="10.85546875" customWidth="1"/>
    <col min="15" max="15" width="9.42578125" customWidth="1"/>
    <col min="16" max="16" width="11.28515625" customWidth="1"/>
  </cols>
  <sheetData>
    <row r="6" spans="1:34" ht="18.75" x14ac:dyDescent="0.3">
      <c r="B6" s="86" t="s">
        <v>46</v>
      </c>
      <c r="C6" s="86"/>
      <c r="D6" s="86"/>
      <c r="E6" s="86"/>
      <c r="F6" s="86"/>
      <c r="G6" s="86"/>
      <c r="H6" s="86"/>
      <c r="I6" s="86"/>
      <c r="J6" s="86"/>
      <c r="K6" s="86"/>
    </row>
    <row r="7" spans="1:34" ht="18.75" customHeight="1" x14ac:dyDescent="0.25"/>
    <row r="8" spans="1:34" ht="18" customHeight="1" thickBot="1" x14ac:dyDescent="0.3">
      <c r="A8" t="s">
        <v>31</v>
      </c>
      <c r="M8" s="194" t="s">
        <v>32</v>
      </c>
      <c r="N8" s="194"/>
      <c r="O8" s="194"/>
      <c r="P8" s="194"/>
      <c r="Q8" s="192"/>
    </row>
    <row r="9" spans="1:34" ht="27" customHeight="1" x14ac:dyDescent="0.25">
      <c r="A9" s="122"/>
      <c r="B9" s="123" t="s">
        <v>0</v>
      </c>
      <c r="C9" s="123"/>
      <c r="D9" s="123"/>
      <c r="E9" s="124"/>
      <c r="I9" s="79"/>
      <c r="M9" s="194" t="s">
        <v>14</v>
      </c>
      <c r="N9" s="194" t="s">
        <v>15</v>
      </c>
      <c r="O9" s="194" t="s">
        <v>4</v>
      </c>
      <c r="P9" s="194" t="s">
        <v>4</v>
      </c>
      <c r="Q9" s="192"/>
    </row>
    <row r="10" spans="1:34" ht="15.75" thickBot="1" x14ac:dyDescent="0.3">
      <c r="A10" s="125"/>
      <c r="B10" s="53"/>
      <c r="C10" s="73" t="s">
        <v>1</v>
      </c>
      <c r="D10" s="73"/>
      <c r="E10" s="89"/>
      <c r="F10" s="75"/>
      <c r="G10" s="75"/>
      <c r="H10" s="75"/>
      <c r="I10" s="16"/>
      <c r="J10" s="75"/>
      <c r="K10" s="75"/>
      <c r="M10" s="194"/>
      <c r="N10" s="194" t="s">
        <v>16</v>
      </c>
      <c r="O10" s="194" t="s">
        <v>17</v>
      </c>
      <c r="P10" s="194" t="s">
        <v>18</v>
      </c>
      <c r="Q10" s="192"/>
    </row>
    <row r="11" spans="1:34" ht="15.75" thickBot="1" x14ac:dyDescent="0.3">
      <c r="A11" s="139" t="s">
        <v>2</v>
      </c>
      <c r="B11" s="53" t="s">
        <v>3</v>
      </c>
      <c r="C11" s="78" t="s">
        <v>4</v>
      </c>
      <c r="D11" s="78" t="s">
        <v>5</v>
      </c>
      <c r="E11" s="79" t="s">
        <v>6</v>
      </c>
      <c r="F11" s="80"/>
      <c r="G11" s="81"/>
      <c r="H11" s="81"/>
      <c r="I11" s="167"/>
      <c r="J11" s="81"/>
      <c r="K11" s="166"/>
      <c r="M11" s="194"/>
      <c r="N11" s="194"/>
      <c r="O11" s="194" t="s">
        <v>19</v>
      </c>
      <c r="P11" s="194"/>
      <c r="Q11" s="192"/>
    </row>
    <row r="12" spans="1:34" x14ac:dyDescent="0.25">
      <c r="A12" s="139" t="s">
        <v>7</v>
      </c>
      <c r="B12" s="53"/>
      <c r="C12" s="82" t="s">
        <v>2</v>
      </c>
      <c r="D12" s="82" t="s">
        <v>8</v>
      </c>
      <c r="E12" s="83" t="s">
        <v>9</v>
      </c>
      <c r="F12" s="84"/>
      <c r="G12" s="85"/>
      <c r="H12" s="85"/>
      <c r="I12" s="242" t="s">
        <v>34</v>
      </c>
      <c r="J12" s="85"/>
      <c r="K12" s="114"/>
      <c r="M12" s="193">
        <v>1</v>
      </c>
      <c r="N12" s="197">
        <v>166.3</v>
      </c>
      <c r="O12" s="197">
        <v>119.57</v>
      </c>
      <c r="P12" s="197">
        <v>46.73</v>
      </c>
      <c r="Q12" s="192"/>
    </row>
    <row r="13" spans="1:34" ht="16.5" customHeight="1" thickBot="1" x14ac:dyDescent="0.3">
      <c r="A13" s="127"/>
      <c r="C13" s="15" t="s">
        <v>10</v>
      </c>
      <c r="D13" s="15" t="s">
        <v>11</v>
      </c>
      <c r="E13" s="16" t="s">
        <v>12</v>
      </c>
      <c r="F13" s="17"/>
      <c r="G13" s="18"/>
      <c r="H13" s="19">
        <v>0.3</v>
      </c>
      <c r="I13" s="243"/>
      <c r="J13" s="19">
        <v>0.3</v>
      </c>
      <c r="K13" s="95"/>
      <c r="M13" s="194">
        <v>2</v>
      </c>
      <c r="N13" s="196">
        <f>SUM(N12*2)</f>
        <v>332.6</v>
      </c>
      <c r="O13" s="196">
        <f>SUM(O12*2)</f>
        <v>239.14</v>
      </c>
      <c r="P13" s="197">
        <f>SUM(P12*2)</f>
        <v>93.46</v>
      </c>
      <c r="Q13" s="192"/>
    </row>
    <row r="14" spans="1:34" x14ac:dyDescent="0.25">
      <c r="A14" s="128"/>
      <c r="B14" s="21"/>
      <c r="C14" s="22"/>
      <c r="D14" s="22"/>
      <c r="E14" s="129"/>
      <c r="F14" s="24"/>
      <c r="G14" s="24"/>
      <c r="H14" s="24"/>
      <c r="I14" s="115"/>
      <c r="J14" s="24"/>
      <c r="K14" s="25"/>
      <c r="M14" s="194">
        <v>3</v>
      </c>
      <c r="N14" s="196">
        <f>SUM(N12*3)</f>
        <v>498.90000000000003</v>
      </c>
      <c r="O14" s="196">
        <f>SUM(O12*3)</f>
        <v>358.71</v>
      </c>
      <c r="P14" s="197">
        <f>SUM(P12*3)</f>
        <v>140.19</v>
      </c>
      <c r="Q14" s="192"/>
    </row>
    <row r="15" spans="1:34" x14ac:dyDescent="0.25">
      <c r="A15" s="130">
        <v>2</v>
      </c>
      <c r="B15" s="27">
        <f>SUM(K34)</f>
        <v>4277.0519999999997</v>
      </c>
      <c r="C15" s="28">
        <v>805</v>
      </c>
      <c r="D15" s="29">
        <f>SUM(D34)*30.42</f>
        <v>104.34060000000001</v>
      </c>
      <c r="E15" s="131">
        <f>SUM(B15-C15)</f>
        <v>3472.0519999999997</v>
      </c>
      <c r="F15" s="31">
        <f>SUM(B34+D34)*30.42</f>
        <v>2855.5254000000004</v>
      </c>
      <c r="G15" s="31">
        <f>SUM(F15-C15)</f>
        <v>2050.5254000000004</v>
      </c>
      <c r="H15" s="31">
        <f>SUM(G15*30/100)</f>
        <v>615.15762000000018</v>
      </c>
      <c r="I15" s="33">
        <f>SUM(E15-H15)</f>
        <v>2856.8943799999997</v>
      </c>
      <c r="J15" s="31">
        <f>SUM(E15-H15)</f>
        <v>2856.8943799999997</v>
      </c>
      <c r="K15" s="32"/>
      <c r="M15" s="194">
        <v>4</v>
      </c>
      <c r="N15" s="196">
        <f>SUM(N12*4)</f>
        <v>665.2</v>
      </c>
      <c r="O15" s="196">
        <f>SUM(O12*4)</f>
        <v>478.28</v>
      </c>
      <c r="P15" s="197">
        <f>SUM(P12*4)</f>
        <v>186.92</v>
      </c>
      <c r="Q15" s="192"/>
      <c r="AH15" t="s">
        <v>41</v>
      </c>
    </row>
    <row r="16" spans="1:34" ht="15.75" thickBot="1" x14ac:dyDescent="0.3">
      <c r="A16" s="132"/>
      <c r="B16" s="35"/>
      <c r="C16" s="36"/>
      <c r="D16" s="36"/>
      <c r="E16" s="133"/>
      <c r="F16" s="38"/>
      <c r="G16" s="38"/>
      <c r="H16" s="38"/>
      <c r="I16" s="4"/>
      <c r="J16" s="38"/>
      <c r="K16" s="39"/>
      <c r="M16" s="194">
        <v>5</v>
      </c>
      <c r="N16" s="196">
        <f>SUM(N12*5)</f>
        <v>831.5</v>
      </c>
      <c r="O16" s="196">
        <f>SUM(O12*5)</f>
        <v>597.84999999999991</v>
      </c>
      <c r="P16" s="197">
        <f>SUM(P12*5)</f>
        <v>233.64999999999998</v>
      </c>
      <c r="Q16" s="192"/>
    </row>
    <row r="17" spans="1:17" x14ac:dyDescent="0.25">
      <c r="A17" s="128"/>
      <c r="B17" s="40"/>
      <c r="C17" s="41"/>
      <c r="D17" s="41"/>
      <c r="E17" s="134"/>
      <c r="F17" s="43"/>
      <c r="G17" s="43"/>
      <c r="H17" s="43"/>
      <c r="I17" s="45"/>
      <c r="J17" s="43"/>
      <c r="K17" s="44"/>
      <c r="M17" s="194">
        <v>6</v>
      </c>
      <c r="N17" s="196">
        <f>SUM(N12*6)</f>
        <v>997.80000000000007</v>
      </c>
      <c r="O17" s="196">
        <f>SUM(O12*6)</f>
        <v>717.42</v>
      </c>
      <c r="P17" s="197">
        <f>SUM(P12*6)</f>
        <v>280.38</v>
      </c>
      <c r="Q17" s="192"/>
    </row>
    <row r="18" spans="1:17" x14ac:dyDescent="0.25">
      <c r="A18" s="130">
        <v>3</v>
      </c>
      <c r="B18" s="46">
        <f>SUM(K35)</f>
        <v>4790.8458000000001</v>
      </c>
      <c r="C18" s="28">
        <v>1319</v>
      </c>
      <c r="D18" s="29">
        <f>SUM(D35)*30.42</f>
        <v>104.34060000000001</v>
      </c>
      <c r="E18" s="131">
        <f>SUM(B18-C18)</f>
        <v>3471.8458000000001</v>
      </c>
      <c r="F18" s="31">
        <f>SUM(B35+D35)*30.42</f>
        <v>3369.3192000000004</v>
      </c>
      <c r="G18" s="31">
        <f>SUM(F18-C18)</f>
        <v>2050.3192000000004</v>
      </c>
      <c r="H18" s="31">
        <f>SUM(G18*30/100)</f>
        <v>615.09576000000004</v>
      </c>
      <c r="I18" s="47">
        <f>SUM(E18-H18)</f>
        <v>2856.7500399999999</v>
      </c>
      <c r="J18" s="31">
        <f>SUM(E18-H18)</f>
        <v>2856.7500399999999</v>
      </c>
      <c r="K18" s="32"/>
      <c r="M18" s="194">
        <v>7</v>
      </c>
      <c r="N18" s="196">
        <f>SUM(N12*7)</f>
        <v>1164.1000000000001</v>
      </c>
      <c r="O18" s="196">
        <f>SUM(O12*7)</f>
        <v>836.99</v>
      </c>
      <c r="P18" s="197">
        <f>SUM(P12*7)</f>
        <v>327.10999999999996</v>
      </c>
      <c r="Q18" s="192"/>
    </row>
    <row r="19" spans="1:17" ht="15.75" thickBot="1" x14ac:dyDescent="0.3">
      <c r="A19" s="132"/>
      <c r="B19" s="35"/>
      <c r="C19" s="36"/>
      <c r="D19" s="36"/>
      <c r="E19" s="133"/>
      <c r="F19" s="38"/>
      <c r="G19" s="38"/>
      <c r="H19" s="38"/>
      <c r="I19" s="4"/>
      <c r="J19" s="38"/>
      <c r="K19" s="39"/>
      <c r="M19" s="194">
        <v>8</v>
      </c>
      <c r="N19" s="196">
        <f>SUM(N12*8)</f>
        <v>1330.4</v>
      </c>
      <c r="O19" s="196">
        <f>SUM(O12*8)</f>
        <v>956.56</v>
      </c>
      <c r="P19" s="197">
        <f>SUM(P12*8)</f>
        <v>373.84</v>
      </c>
      <c r="Q19" s="192"/>
    </row>
    <row r="20" spans="1:17" x14ac:dyDescent="0.25">
      <c r="A20" s="128"/>
      <c r="B20" s="40"/>
      <c r="C20" s="41"/>
      <c r="D20" s="41"/>
      <c r="E20" s="134"/>
      <c r="F20" s="43"/>
      <c r="G20" s="43"/>
      <c r="H20" s="43"/>
      <c r="I20" s="45"/>
      <c r="J20" s="43"/>
      <c r="K20" s="44"/>
      <c r="M20" s="194">
        <v>9</v>
      </c>
      <c r="N20" s="196">
        <f>SUM(N12*9)</f>
        <v>1496.7</v>
      </c>
      <c r="O20" s="196">
        <f>SUM(O12*9)</f>
        <v>1076.1299999999999</v>
      </c>
      <c r="P20" s="197">
        <f>SUM(P12*9)</f>
        <v>420.57</v>
      </c>
      <c r="Q20" s="192"/>
    </row>
    <row r="21" spans="1:17" x14ac:dyDescent="0.25">
      <c r="A21" s="130">
        <v>4</v>
      </c>
      <c r="B21" s="46">
        <f>SUM(K36)</f>
        <v>5326.8462</v>
      </c>
      <c r="C21" s="28">
        <v>1855</v>
      </c>
      <c r="D21" s="29">
        <f>SUM(D36)*30.42</f>
        <v>104.34060000000001</v>
      </c>
      <c r="E21" s="131">
        <f>SUM(B21-C21)</f>
        <v>3471.8462</v>
      </c>
      <c r="F21" s="31">
        <f>SUM(B36+D36)*30.42</f>
        <v>3905.3196000000003</v>
      </c>
      <c r="G21" s="31">
        <f>SUM(F21-C21)</f>
        <v>2050.3196000000003</v>
      </c>
      <c r="H21" s="31">
        <f>SUM(G21*30/100)</f>
        <v>615.09588000000008</v>
      </c>
      <c r="I21" s="47">
        <f>SUM(E21-H21)</f>
        <v>2856.7503200000001</v>
      </c>
      <c r="J21" s="31">
        <f>SUM(E21-H21)</f>
        <v>2856.7503200000001</v>
      </c>
      <c r="K21" s="32"/>
      <c r="M21" s="194">
        <v>10</v>
      </c>
      <c r="N21" s="196">
        <f>SUM(N12*10)</f>
        <v>1663</v>
      </c>
      <c r="O21" s="196">
        <f>SUM(O12*10)</f>
        <v>1195.6999999999998</v>
      </c>
      <c r="P21" s="197">
        <f>SUM(P12*10)</f>
        <v>467.29999999999995</v>
      </c>
      <c r="Q21" s="192"/>
    </row>
    <row r="22" spans="1:17" ht="15.75" thickBot="1" x14ac:dyDescent="0.3">
      <c r="A22" s="132"/>
      <c r="B22" s="35"/>
      <c r="C22" s="36"/>
      <c r="D22" s="36"/>
      <c r="E22" s="133"/>
      <c r="F22" s="38"/>
      <c r="G22" s="38"/>
      <c r="H22" s="38"/>
      <c r="I22" s="4"/>
      <c r="J22" s="38"/>
      <c r="K22" s="39"/>
      <c r="M22" s="194">
        <v>11</v>
      </c>
      <c r="N22" s="196">
        <f>SUM(N12*11)</f>
        <v>1829.3000000000002</v>
      </c>
      <c r="O22" s="196">
        <f>SUM(O12*11)</f>
        <v>1315.27</v>
      </c>
      <c r="P22" s="197">
        <f>SUM(P12*11)</f>
        <v>514.03</v>
      </c>
      <c r="Q22" s="192"/>
    </row>
    <row r="23" spans="1:17" x14ac:dyDescent="0.25">
      <c r="A23" s="128"/>
      <c r="B23" s="40"/>
      <c r="C23" s="41"/>
      <c r="D23" s="41"/>
      <c r="E23" s="134"/>
      <c r="F23" s="43"/>
      <c r="G23" s="43"/>
      <c r="H23" s="43"/>
      <c r="I23" s="45"/>
      <c r="J23" s="43"/>
      <c r="K23" s="44"/>
      <c r="M23" s="194">
        <v>12</v>
      </c>
      <c r="N23" s="196">
        <f>SUM(N12*12)</f>
        <v>1995.6000000000001</v>
      </c>
      <c r="O23" s="196">
        <f>SUM(O12*12)</f>
        <v>1434.84</v>
      </c>
      <c r="P23" s="197">
        <f>SUM(P12*12)</f>
        <v>560.76</v>
      </c>
      <c r="Q23" s="192"/>
    </row>
    <row r="24" spans="1:17" x14ac:dyDescent="0.25">
      <c r="A24" s="130">
        <v>5</v>
      </c>
      <c r="B24" s="46">
        <f>SUM(K37)</f>
        <v>5568.0767999999998</v>
      </c>
      <c r="C24" s="28">
        <v>2096</v>
      </c>
      <c r="D24" s="29">
        <f>SUM(D37)*30.42</f>
        <v>104.34060000000001</v>
      </c>
      <c r="E24" s="131">
        <f>SUM(B24-C24)</f>
        <v>3472.0767999999998</v>
      </c>
      <c r="F24" s="31">
        <f>SUM(B37+D37)*30.42</f>
        <v>4146.5502000000006</v>
      </c>
      <c r="G24" s="31">
        <f>SUM(F24-C24)</f>
        <v>2050.5502000000006</v>
      </c>
      <c r="H24" s="31">
        <f>SUM(G24*30/100)</f>
        <v>615.16506000000015</v>
      </c>
      <c r="I24" s="47">
        <f>SUM(E24-H24)</f>
        <v>2856.9117399999996</v>
      </c>
      <c r="J24" s="31">
        <f>SUM(E24-H24)</f>
        <v>2856.9117399999996</v>
      </c>
      <c r="K24" s="32"/>
      <c r="M24" s="194">
        <v>13</v>
      </c>
      <c r="N24" s="196">
        <f>SUM(N12*13)</f>
        <v>2161.9</v>
      </c>
      <c r="O24" s="196">
        <f>SUM(O12*13)</f>
        <v>1554.4099999999999</v>
      </c>
      <c r="P24" s="197">
        <f>SUM(P12*13)</f>
        <v>607.49</v>
      </c>
      <c r="Q24" s="192"/>
    </row>
    <row r="25" spans="1:17" ht="15.75" thickBot="1" x14ac:dyDescent="0.3">
      <c r="A25" s="132"/>
      <c r="B25" s="48"/>
      <c r="C25" s="49"/>
      <c r="D25" s="49"/>
      <c r="E25" s="135"/>
      <c r="F25" s="50"/>
      <c r="G25" s="50"/>
      <c r="H25" s="50"/>
      <c r="I25" s="4"/>
      <c r="J25" s="50"/>
      <c r="K25" s="51"/>
      <c r="M25" s="194">
        <v>14</v>
      </c>
      <c r="N25" s="196">
        <f>SUM(N12*14)</f>
        <v>2328.2000000000003</v>
      </c>
      <c r="O25" s="196">
        <f>SUM(O12*14)</f>
        <v>1673.98</v>
      </c>
      <c r="P25" s="197">
        <f>SUM(P12*14)</f>
        <v>654.21999999999991</v>
      </c>
      <c r="Q25" s="192"/>
    </row>
    <row r="26" spans="1:17" x14ac:dyDescent="0.25">
      <c r="A26" s="128"/>
      <c r="B26" s="40"/>
      <c r="C26" s="41"/>
      <c r="D26" s="41"/>
      <c r="E26" s="134"/>
      <c r="F26" s="43"/>
      <c r="G26" s="43"/>
      <c r="H26" s="43"/>
      <c r="I26" s="45"/>
      <c r="J26" s="43"/>
      <c r="K26" s="44"/>
      <c r="M26" s="194">
        <v>15</v>
      </c>
      <c r="N26" s="196">
        <f>SUM(N12*15)</f>
        <v>2494.5</v>
      </c>
      <c r="O26" s="196">
        <f>SUM(O12*15)</f>
        <v>1793.55</v>
      </c>
      <c r="P26" s="197">
        <f>SUM(P12*15)</f>
        <v>700.94999999999993</v>
      </c>
      <c r="Q26" s="192"/>
    </row>
    <row r="27" spans="1:17" x14ac:dyDescent="0.25">
      <c r="A27" s="130" t="s">
        <v>13</v>
      </c>
      <c r="B27" s="46">
        <v>4989</v>
      </c>
      <c r="C27" s="108">
        <v>3539</v>
      </c>
      <c r="D27" s="29">
        <f>SUM(H38)*16</f>
        <v>0</v>
      </c>
      <c r="E27" s="131"/>
      <c r="F27" s="31" t="e">
        <f>SUM(B27-#REF!)</f>
        <v>#REF!</v>
      </c>
      <c r="G27" s="31"/>
      <c r="H27" s="31"/>
      <c r="I27" s="228">
        <f>SUM(B27-C27)</f>
        <v>1450</v>
      </c>
      <c r="J27" s="31">
        <f>SUM(B27-C27)</f>
        <v>1450</v>
      </c>
      <c r="K27" s="32"/>
      <c r="M27" s="194">
        <v>16</v>
      </c>
      <c r="N27" s="196">
        <f>SUM(N12*16)</f>
        <v>2660.8</v>
      </c>
      <c r="O27" s="196">
        <f>SUM(O12*16)</f>
        <v>1913.12</v>
      </c>
      <c r="P27" s="197">
        <f>SUM(P12*16)</f>
        <v>747.68</v>
      </c>
      <c r="Q27" s="192"/>
    </row>
    <row r="28" spans="1:17" ht="15.75" thickBot="1" x14ac:dyDescent="0.3">
      <c r="A28" s="136" t="s">
        <v>40</v>
      </c>
      <c r="B28" s="137"/>
      <c r="C28" s="140"/>
      <c r="D28" s="107"/>
      <c r="E28" s="138"/>
      <c r="F28" s="50"/>
      <c r="G28" s="50"/>
      <c r="H28" s="50"/>
      <c r="I28" s="4"/>
      <c r="J28" s="50"/>
      <c r="K28" s="51"/>
      <c r="M28" s="194">
        <v>17</v>
      </c>
      <c r="N28" s="196">
        <f>SUM(N12*17)</f>
        <v>2827.1000000000004</v>
      </c>
      <c r="O28" s="196">
        <v>1854</v>
      </c>
      <c r="P28" s="197">
        <v>853.93</v>
      </c>
      <c r="Q28" s="192"/>
    </row>
    <row r="29" spans="1:17" x14ac:dyDescent="0.25">
      <c r="A29" s="53"/>
      <c r="B29" s="53"/>
      <c r="C29" s="53"/>
      <c r="D29" s="53"/>
      <c r="E29" s="53"/>
      <c r="F29" s="53"/>
      <c r="G29" s="53"/>
      <c r="H29" s="53"/>
      <c r="J29" s="53"/>
      <c r="K29" s="53"/>
      <c r="M29" s="194">
        <v>18</v>
      </c>
      <c r="N29" s="196">
        <f>SUM(N12*18)</f>
        <v>2993.4</v>
      </c>
      <c r="O29" s="196">
        <f>SUM(O12*18)</f>
        <v>2152.2599999999998</v>
      </c>
      <c r="P29" s="197">
        <f>SUM(P12*18)</f>
        <v>841.14</v>
      </c>
      <c r="Q29" s="192"/>
    </row>
    <row r="30" spans="1:17" x14ac:dyDescent="0.25">
      <c r="M30" s="194">
        <v>19</v>
      </c>
      <c r="N30" s="196">
        <f>SUM(N12*19)</f>
        <v>3159.7000000000003</v>
      </c>
      <c r="O30" s="196">
        <f>SUM(O12*19)</f>
        <v>2271.83</v>
      </c>
      <c r="P30" s="197">
        <f>SUM(P12*19)</f>
        <v>887.86999999999989</v>
      </c>
      <c r="Q30" s="192"/>
    </row>
    <row r="31" spans="1:17" x14ac:dyDescent="0.25">
      <c r="A31" s="5" t="s">
        <v>20</v>
      </c>
      <c r="B31" s="66"/>
      <c r="C31" s="66"/>
      <c r="D31" s="66"/>
      <c r="F31" s="68"/>
      <c r="G31" s="12"/>
      <c r="H31" s="12"/>
      <c r="I31" s="67"/>
      <c r="J31" s="12"/>
      <c r="K31" s="12"/>
      <c r="M31" s="194">
        <v>20</v>
      </c>
      <c r="N31" s="196">
        <f>SUM(N12*20)</f>
        <v>3326</v>
      </c>
      <c r="O31" s="196">
        <f>SUM(O12*20)</f>
        <v>2391.3999999999996</v>
      </c>
      <c r="P31" s="197">
        <f>SUM(P12*20)</f>
        <v>934.59999999999991</v>
      </c>
      <c r="Q31" s="192"/>
    </row>
    <row r="32" spans="1:17" x14ac:dyDescent="0.25">
      <c r="A32" s="244" t="s">
        <v>21</v>
      </c>
      <c r="B32" s="244" t="s">
        <v>22</v>
      </c>
      <c r="C32" s="244" t="s">
        <v>23</v>
      </c>
      <c r="D32" s="55" t="s">
        <v>5</v>
      </c>
      <c r="F32" s="246" t="s">
        <v>25</v>
      </c>
      <c r="G32" s="244"/>
      <c r="H32" s="244" t="s">
        <v>27</v>
      </c>
      <c r="I32" s="247" t="s">
        <v>24</v>
      </c>
      <c r="J32" s="54"/>
      <c r="K32" s="54"/>
      <c r="M32" s="194">
        <v>21</v>
      </c>
      <c r="N32" s="196">
        <f>SUM(N12*21)</f>
        <v>3492.3</v>
      </c>
      <c r="O32" s="196">
        <f>SUM(O12*21)</f>
        <v>2510.9699999999998</v>
      </c>
      <c r="P32" s="197">
        <f>SUM(P12*21)</f>
        <v>981.32999999999993</v>
      </c>
      <c r="Q32" s="192"/>
    </row>
    <row r="33" spans="1:17" x14ac:dyDescent="0.25">
      <c r="A33" s="244"/>
      <c r="B33" s="244"/>
      <c r="C33" s="244"/>
      <c r="D33" s="55" t="s">
        <v>28</v>
      </c>
      <c r="F33" s="246"/>
      <c r="G33" s="244"/>
      <c r="H33" s="244"/>
      <c r="I33" s="247"/>
      <c r="J33" s="54"/>
      <c r="K33" s="54"/>
      <c r="M33" s="194">
        <v>22</v>
      </c>
      <c r="N33" s="196">
        <f>SUM(N12*22)</f>
        <v>3658.6000000000004</v>
      </c>
      <c r="O33" s="196">
        <f>SUM(O12*22)</f>
        <v>2630.54</v>
      </c>
      <c r="P33" s="197">
        <f>SUM(P12*22)</f>
        <v>1028.06</v>
      </c>
      <c r="Q33" s="192"/>
    </row>
    <row r="34" spans="1:17" x14ac:dyDescent="0.25">
      <c r="A34" s="56">
        <v>2</v>
      </c>
      <c r="B34" s="57">
        <v>90.44</v>
      </c>
      <c r="C34" s="58">
        <v>18.77</v>
      </c>
      <c r="D34" s="58">
        <v>3.43</v>
      </c>
      <c r="F34" s="60">
        <v>15.45</v>
      </c>
      <c r="G34" s="60"/>
      <c r="H34" s="58"/>
      <c r="I34" s="59">
        <v>12.51</v>
      </c>
      <c r="J34" s="62">
        <f>SUM(B34:I34)</f>
        <v>140.6</v>
      </c>
      <c r="K34" s="62">
        <f>SUM(J34)*30.42</f>
        <v>4277.0519999999997</v>
      </c>
      <c r="M34" s="194">
        <v>23</v>
      </c>
      <c r="N34" s="196">
        <f>SUM(N12*23)</f>
        <v>3824.9</v>
      </c>
      <c r="O34" s="196">
        <f>SUM(O12*23)</f>
        <v>2750.1099999999997</v>
      </c>
      <c r="P34" s="197">
        <f>SUM(P12*23)</f>
        <v>1074.79</v>
      </c>
      <c r="Q34" s="192"/>
    </row>
    <row r="35" spans="1:17" x14ac:dyDescent="0.25">
      <c r="A35" s="63">
        <v>3</v>
      </c>
      <c r="B35" s="64">
        <v>107.33</v>
      </c>
      <c r="C35" s="58">
        <v>18.77</v>
      </c>
      <c r="D35" s="58">
        <v>3.43</v>
      </c>
      <c r="F35" s="60">
        <v>15.45</v>
      </c>
      <c r="G35" s="60"/>
      <c r="H35" s="58"/>
      <c r="I35" s="59">
        <v>12.51</v>
      </c>
      <c r="J35" s="62">
        <f>SUM(B35:I35)</f>
        <v>157.48999999999998</v>
      </c>
      <c r="K35" s="62">
        <f>SUM(J35)*30.42</f>
        <v>4790.8458000000001</v>
      </c>
      <c r="M35" s="194">
        <v>24</v>
      </c>
      <c r="N35" s="196">
        <f>SUM(N12*24)</f>
        <v>3991.2000000000003</v>
      </c>
      <c r="O35" s="196">
        <f>SUM(O12*24)</f>
        <v>2869.68</v>
      </c>
      <c r="P35" s="197">
        <f>SUM(P12*24)</f>
        <v>1121.52</v>
      </c>
      <c r="Q35" s="192"/>
    </row>
    <row r="36" spans="1:17" x14ac:dyDescent="0.25">
      <c r="A36" s="63">
        <v>4</v>
      </c>
      <c r="B36" s="64">
        <v>124.95</v>
      </c>
      <c r="C36" s="58">
        <v>18.77</v>
      </c>
      <c r="D36" s="58">
        <v>3.43</v>
      </c>
      <c r="F36" s="60">
        <v>15.45</v>
      </c>
      <c r="G36" s="60"/>
      <c r="H36" s="58"/>
      <c r="I36" s="59">
        <v>12.51</v>
      </c>
      <c r="J36" s="62">
        <f>SUM(B36:I36)</f>
        <v>175.10999999999999</v>
      </c>
      <c r="K36" s="62">
        <f>SUM(J36)*30.42</f>
        <v>5326.8462</v>
      </c>
      <c r="M36" s="194">
        <v>25</v>
      </c>
      <c r="N36" s="196">
        <f>SUM(N12*25)</f>
        <v>4157.5</v>
      </c>
      <c r="O36" s="196">
        <f>SUM(O12*25)</f>
        <v>2989.25</v>
      </c>
      <c r="P36" s="197">
        <f>SUM(P12*25)</f>
        <v>1168.25</v>
      </c>
      <c r="Q36" s="192"/>
    </row>
    <row r="37" spans="1:17" x14ac:dyDescent="0.25">
      <c r="A37" s="63">
        <v>5</v>
      </c>
      <c r="B37" s="64">
        <v>132.88</v>
      </c>
      <c r="C37" s="58">
        <v>18.77</v>
      </c>
      <c r="D37" s="58">
        <v>3.43</v>
      </c>
      <c r="F37" s="60">
        <v>15.45</v>
      </c>
      <c r="G37" s="60"/>
      <c r="H37" s="58"/>
      <c r="I37" s="59">
        <v>12.51</v>
      </c>
      <c r="J37" s="62">
        <f>SUM(B37:I37)</f>
        <v>183.04</v>
      </c>
      <c r="K37" s="62">
        <f>SUM(J37)*30.42</f>
        <v>5568.0767999999998</v>
      </c>
      <c r="M37" s="194">
        <v>26</v>
      </c>
      <c r="N37" s="196">
        <f>SUM(N12*26)</f>
        <v>4323.8</v>
      </c>
      <c r="O37" s="196">
        <f>SUM(O12*26)</f>
        <v>3108.8199999999997</v>
      </c>
      <c r="P37" s="197">
        <f>SUM(P12*26)</f>
        <v>1214.98</v>
      </c>
      <c r="Q37" s="192"/>
    </row>
    <row r="38" spans="1:17" x14ac:dyDescent="0.25">
      <c r="A38" s="65" t="s">
        <v>13</v>
      </c>
      <c r="B38" s="64">
        <v>116.14</v>
      </c>
      <c r="C38" s="58">
        <v>18.77</v>
      </c>
      <c r="D38" s="58">
        <v>3.43</v>
      </c>
      <c r="F38" s="60">
        <v>15.45</v>
      </c>
      <c r="G38" s="60"/>
      <c r="H38" s="58"/>
      <c r="I38" s="59">
        <v>12.51</v>
      </c>
      <c r="J38" s="62">
        <f>SUM(B38:F38)</f>
        <v>153.79</v>
      </c>
      <c r="K38" s="62">
        <f>SUM(J38)*19</f>
        <v>2922.0099999999998</v>
      </c>
      <c r="M38" s="194">
        <v>27</v>
      </c>
      <c r="N38" s="196">
        <f>SUM(N12*27)</f>
        <v>4490.1000000000004</v>
      </c>
      <c r="O38" s="196">
        <f>SUM(O12*27)</f>
        <v>3228.39</v>
      </c>
      <c r="P38" s="197">
        <f>SUM(P12*27)</f>
        <v>1261.7099999999998</v>
      </c>
      <c r="Q38" s="192"/>
    </row>
    <row r="39" spans="1:17" x14ac:dyDescent="0.25">
      <c r="A39" s="7"/>
      <c r="B39" s="8"/>
      <c r="C39" s="9"/>
      <c r="D39" s="9"/>
      <c r="E39" s="10"/>
      <c r="F39" s="10"/>
      <c r="G39" s="10"/>
      <c r="H39" s="10"/>
      <c r="I39" s="6"/>
      <c r="J39" s="10"/>
      <c r="K39" s="10"/>
      <c r="M39" s="194">
        <v>28</v>
      </c>
      <c r="N39" s="196">
        <f>SUM(N12*28)</f>
        <v>4656.4000000000005</v>
      </c>
      <c r="O39" s="196">
        <f>SUM(O12*28)</f>
        <v>3347.96</v>
      </c>
      <c r="P39" s="197">
        <f>SUM(P12*28)</f>
        <v>1308.4399999999998</v>
      </c>
      <c r="Q39" s="192"/>
    </row>
    <row r="40" spans="1:17" x14ac:dyDescent="0.25">
      <c r="A40" s="11" t="s">
        <v>29</v>
      </c>
      <c r="B40" s="12" t="s">
        <v>30</v>
      </c>
      <c r="C40" s="12"/>
      <c r="D40" s="12"/>
      <c r="E40" s="12"/>
      <c r="F40" s="12"/>
      <c r="G40" s="12"/>
      <c r="H40" s="12"/>
      <c r="I40" s="12"/>
      <c r="J40" s="12"/>
      <c r="K40" s="12"/>
      <c r="M40" s="194">
        <v>30</v>
      </c>
      <c r="N40" s="196">
        <f>SUM(N12*30)</f>
        <v>4989</v>
      </c>
      <c r="O40" s="195">
        <v>3539</v>
      </c>
      <c r="P40" s="197">
        <f>SUM(N40-O40)</f>
        <v>1450</v>
      </c>
      <c r="Q40" s="192"/>
    </row>
    <row r="41" spans="1:17" x14ac:dyDescent="0.25">
      <c r="A41" s="11" t="s">
        <v>29</v>
      </c>
      <c r="B41" s="12" t="s">
        <v>42</v>
      </c>
      <c r="C41" s="12"/>
      <c r="D41" s="12"/>
      <c r="E41" s="12"/>
      <c r="F41" s="12"/>
      <c r="G41" s="12"/>
      <c r="H41" s="12"/>
      <c r="I41" s="12"/>
      <c r="J41" s="12"/>
      <c r="K41" s="12"/>
      <c r="M41" s="192"/>
      <c r="N41" s="192"/>
      <c r="O41" s="192"/>
      <c r="P41" s="192"/>
      <c r="Q41" s="192"/>
    </row>
    <row r="42" spans="1:17" x14ac:dyDescent="0.25">
      <c r="A42" s="11" t="s">
        <v>29</v>
      </c>
      <c r="B42" s="12" t="s">
        <v>43</v>
      </c>
      <c r="C42" s="12"/>
      <c r="D42" s="12"/>
      <c r="E42" s="12"/>
      <c r="F42" s="12"/>
      <c r="G42" s="12"/>
      <c r="H42" s="12"/>
      <c r="I42" s="12"/>
      <c r="J42" s="12"/>
      <c r="K42" s="12"/>
    </row>
    <row r="43" spans="1:17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7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7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</row>
  </sheetData>
  <mergeCells count="8">
    <mergeCell ref="I12:I13"/>
    <mergeCell ref="H32:H33"/>
    <mergeCell ref="A32:A33"/>
    <mergeCell ref="B32:B33"/>
    <mergeCell ref="C32:C33"/>
    <mergeCell ref="I32:I33"/>
    <mergeCell ref="F32:F33"/>
    <mergeCell ref="G32:G33"/>
  </mergeCells>
  <pageMargins left="0.7" right="0.7" top="0.78740157499999996" bottom="0.78740157499999996" header="0.3" footer="0.3"/>
  <pageSetup paperSize="9" orientation="portrait" r:id="rId1"/>
  <headerFooter>
    <oddFooter>&amp;LStand 01.01.2024&amp;RFreigabe: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18AD-60CB-47B0-80AA-35B37B3AC045}">
  <dimension ref="A1:R45"/>
  <sheetViews>
    <sheetView view="pageLayout" zoomScaleNormal="100" workbookViewId="0">
      <selection activeCell="B6" sqref="B6"/>
    </sheetView>
  </sheetViews>
  <sheetFormatPr baseColWidth="10" defaultRowHeight="15" x14ac:dyDescent="0.25"/>
  <cols>
    <col min="1" max="1" width="5.5703125" customWidth="1"/>
    <col min="2" max="2" width="9.7109375" customWidth="1"/>
    <col min="3" max="3" width="9.85546875" customWidth="1"/>
    <col min="4" max="4" width="13.5703125" customWidth="1"/>
    <col min="5" max="5" width="10.7109375" hidden="1" customWidth="1"/>
    <col min="6" max="6" width="0.140625" customWidth="1"/>
    <col min="7" max="7" width="0.140625" hidden="1" customWidth="1"/>
    <col min="8" max="8" width="18.28515625" hidden="1" customWidth="1"/>
    <col min="9" max="9" width="9.28515625" customWidth="1"/>
    <col min="10" max="10" width="0.28515625" customWidth="1"/>
    <col min="11" max="11" width="0.140625" hidden="1" customWidth="1"/>
    <col min="12" max="12" width="3" customWidth="1"/>
    <col min="13" max="13" width="4.42578125" customWidth="1"/>
    <col min="14" max="14" width="10.140625" customWidth="1"/>
    <col min="15" max="15" width="11.5703125" customWidth="1"/>
    <col min="16" max="16" width="10.7109375" style="174" customWidth="1"/>
    <col min="17" max="17" width="9.7109375" hidden="1" customWidth="1"/>
    <col min="18" max="18" width="16.140625" customWidth="1"/>
    <col min="19" max="20" width="25" customWidth="1"/>
  </cols>
  <sheetData>
    <row r="1" spans="1:18" x14ac:dyDescent="0.25">
      <c r="P1"/>
    </row>
    <row r="2" spans="1:18" x14ac:dyDescent="0.25">
      <c r="P2"/>
    </row>
    <row r="3" spans="1:18" x14ac:dyDescent="0.25">
      <c r="P3"/>
    </row>
    <row r="4" spans="1:18" x14ac:dyDescent="0.25">
      <c r="P4"/>
    </row>
    <row r="5" spans="1:18" x14ac:dyDescent="0.25">
      <c r="P5"/>
    </row>
    <row r="6" spans="1:18" ht="18.75" x14ac:dyDescent="0.3">
      <c r="B6" s="86" t="s">
        <v>46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P6"/>
      <c r="R6" s="179"/>
    </row>
    <row r="7" spans="1:18" x14ac:dyDescent="0.25">
      <c r="P7"/>
    </row>
    <row r="8" spans="1:18" ht="15.75" thickBot="1" x14ac:dyDescent="0.3">
      <c r="A8" t="s">
        <v>31</v>
      </c>
      <c r="M8" t="s">
        <v>32</v>
      </c>
      <c r="P8"/>
    </row>
    <row r="9" spans="1:18" ht="15.75" thickBot="1" x14ac:dyDescent="0.3">
      <c r="A9" s="122"/>
      <c r="B9" s="123" t="s">
        <v>0</v>
      </c>
      <c r="C9" s="123"/>
      <c r="D9" s="123"/>
      <c r="E9" s="124"/>
      <c r="I9" s="229"/>
      <c r="L9" s="89"/>
      <c r="M9" s="170" t="s">
        <v>14</v>
      </c>
      <c r="N9" s="70" t="s">
        <v>15</v>
      </c>
      <c r="O9" s="171" t="s">
        <v>4</v>
      </c>
      <c r="P9" s="176" t="s">
        <v>4</v>
      </c>
      <c r="Q9" s="109"/>
    </row>
    <row r="10" spans="1:18" ht="15.75" thickBot="1" x14ac:dyDescent="0.3">
      <c r="A10" s="125"/>
      <c r="B10" s="53"/>
      <c r="C10" s="73" t="s">
        <v>1</v>
      </c>
      <c r="D10" s="73"/>
      <c r="E10" s="89"/>
      <c r="F10" s="75"/>
      <c r="G10" s="75"/>
      <c r="H10" s="75"/>
      <c r="I10" s="16"/>
      <c r="J10" s="75"/>
      <c r="K10" s="75"/>
      <c r="L10" s="89"/>
      <c r="M10" s="175"/>
      <c r="N10" s="70" t="s">
        <v>16</v>
      </c>
      <c r="O10" s="171" t="s">
        <v>17</v>
      </c>
      <c r="P10" s="176" t="s">
        <v>18</v>
      </c>
      <c r="Q10" s="113"/>
    </row>
    <row r="11" spans="1:18" ht="15.75" thickBot="1" x14ac:dyDescent="0.3">
      <c r="A11" s="126" t="s">
        <v>2</v>
      </c>
      <c r="B11" s="53" t="s">
        <v>3</v>
      </c>
      <c r="C11" s="78" t="s">
        <v>4</v>
      </c>
      <c r="D11" s="78" t="s">
        <v>5</v>
      </c>
      <c r="E11" s="79" t="s">
        <v>6</v>
      </c>
      <c r="F11" s="80"/>
      <c r="G11" s="81"/>
      <c r="H11" s="166"/>
      <c r="I11" s="167"/>
      <c r="J11" s="80"/>
      <c r="K11" s="81"/>
      <c r="L11" s="89"/>
      <c r="M11" s="175"/>
      <c r="N11" s="112"/>
      <c r="O11" s="177" t="s">
        <v>19</v>
      </c>
      <c r="P11" s="178"/>
      <c r="Q11" s="188"/>
    </row>
    <row r="12" spans="1:18" x14ac:dyDescent="0.25">
      <c r="A12" s="126" t="s">
        <v>7</v>
      </c>
      <c r="B12" s="53"/>
      <c r="C12" s="82" t="s">
        <v>2</v>
      </c>
      <c r="D12" s="82" t="s">
        <v>8</v>
      </c>
      <c r="E12" s="83" t="s">
        <v>9</v>
      </c>
      <c r="F12" s="84"/>
      <c r="G12" s="85"/>
      <c r="H12" s="85"/>
      <c r="I12" s="248" t="s">
        <v>35</v>
      </c>
      <c r="J12" s="85"/>
      <c r="K12" s="114"/>
      <c r="L12" s="53"/>
      <c r="M12" s="180">
        <v>1</v>
      </c>
      <c r="N12" s="182">
        <v>166.3</v>
      </c>
      <c r="O12" s="172">
        <v>119.57</v>
      </c>
      <c r="P12" s="183">
        <v>46.73</v>
      </c>
      <c r="Q12" s="189">
        <v>113.63</v>
      </c>
    </row>
    <row r="13" spans="1:18" ht="14.25" customHeight="1" thickBot="1" x14ac:dyDescent="0.3">
      <c r="A13" s="127"/>
      <c r="C13" s="15" t="s">
        <v>10</v>
      </c>
      <c r="D13" s="15" t="s">
        <v>11</v>
      </c>
      <c r="E13" s="16" t="s">
        <v>12</v>
      </c>
      <c r="F13" s="17"/>
      <c r="G13" s="18"/>
      <c r="H13" s="19">
        <v>0.5</v>
      </c>
      <c r="I13" s="243"/>
      <c r="J13" s="19">
        <v>0.5</v>
      </c>
      <c r="K13" s="95"/>
      <c r="L13" s="91"/>
      <c r="M13" s="181">
        <v>2</v>
      </c>
      <c r="N13" s="184">
        <f>SUM(N12*2)</f>
        <v>332.6</v>
      </c>
      <c r="O13" s="173">
        <f>SUM(O12*2)</f>
        <v>239.14</v>
      </c>
      <c r="P13" s="185">
        <f>SUM(P12*2)</f>
        <v>93.46</v>
      </c>
      <c r="Q13" s="190">
        <f>SUM(Q12*2)</f>
        <v>227.26</v>
      </c>
    </row>
    <row r="14" spans="1:18" x14ac:dyDescent="0.25">
      <c r="A14" s="128"/>
      <c r="B14" s="21"/>
      <c r="C14" s="22"/>
      <c r="D14" s="22"/>
      <c r="E14" s="129"/>
      <c r="F14" s="24"/>
      <c r="G14" s="24"/>
      <c r="H14" s="24"/>
      <c r="I14" s="115"/>
      <c r="J14" s="24"/>
      <c r="K14" s="25"/>
      <c r="L14" s="88"/>
      <c r="M14" s="181">
        <v>3</v>
      </c>
      <c r="N14" s="184">
        <f>SUM(N12*3)</f>
        <v>498.90000000000003</v>
      </c>
      <c r="O14" s="173">
        <f>SUM(O12*3)</f>
        <v>358.71</v>
      </c>
      <c r="P14" s="185">
        <f>SUM(P12*3)</f>
        <v>140.19</v>
      </c>
      <c r="Q14" s="190">
        <f>SUM(Q12*3)</f>
        <v>340.89</v>
      </c>
    </row>
    <row r="15" spans="1:18" x14ac:dyDescent="0.25">
      <c r="A15" s="130">
        <v>2</v>
      </c>
      <c r="B15" s="27">
        <f>SUM(K34)</f>
        <v>4277.0519999999997</v>
      </c>
      <c r="C15" s="28">
        <v>805</v>
      </c>
      <c r="D15" s="29">
        <f>SUM(D34)*30.42</f>
        <v>104.34060000000001</v>
      </c>
      <c r="E15" s="131">
        <f>SUM(B15-C15)</f>
        <v>3472.0519999999997</v>
      </c>
      <c r="F15" s="31">
        <f>SUM(B34+D34)*30.42</f>
        <v>2855.5254000000004</v>
      </c>
      <c r="G15" s="31">
        <f>SUM(F15-C15)</f>
        <v>2050.5254000000004</v>
      </c>
      <c r="H15" s="31">
        <f>SUM(G15*50/100)</f>
        <v>1025.2627000000002</v>
      </c>
      <c r="I15" s="33">
        <f>SUM(E15-H15)</f>
        <v>2446.7892999999995</v>
      </c>
      <c r="J15" s="31">
        <f>SUM(E15-H15)</f>
        <v>2446.7892999999995</v>
      </c>
      <c r="K15" s="32"/>
      <c r="L15" s="92"/>
      <c r="M15" s="181">
        <v>4</v>
      </c>
      <c r="N15" s="184">
        <f>SUM(N12*4)</f>
        <v>665.2</v>
      </c>
      <c r="O15" s="173">
        <f>SUM(O12*4)</f>
        <v>478.28</v>
      </c>
      <c r="P15" s="185">
        <f>SUM(P12*4)</f>
        <v>186.92</v>
      </c>
      <c r="Q15" s="190">
        <f>SUM(Q12*4)</f>
        <v>454.52</v>
      </c>
    </row>
    <row r="16" spans="1:18" ht="15.75" thickBot="1" x14ac:dyDescent="0.3">
      <c r="A16" s="132"/>
      <c r="B16" s="35"/>
      <c r="C16" s="36"/>
      <c r="D16" s="36"/>
      <c r="E16" s="133"/>
      <c r="F16" s="38"/>
      <c r="G16" s="38"/>
      <c r="H16" s="38"/>
      <c r="I16" s="4"/>
      <c r="J16" s="38"/>
      <c r="K16" s="39"/>
      <c r="L16" s="93"/>
      <c r="M16" s="181">
        <v>5</v>
      </c>
      <c r="N16" s="184">
        <f>SUM(N12*5)</f>
        <v>831.5</v>
      </c>
      <c r="O16" s="173">
        <f>SUM(O12*5)</f>
        <v>597.84999999999991</v>
      </c>
      <c r="P16" s="185">
        <f>SUM(P12*5)</f>
        <v>233.64999999999998</v>
      </c>
      <c r="Q16" s="190">
        <f>SUM(Q12*5)</f>
        <v>568.15</v>
      </c>
    </row>
    <row r="17" spans="1:18" x14ac:dyDescent="0.25">
      <c r="A17" s="128"/>
      <c r="B17" s="40"/>
      <c r="C17" s="41"/>
      <c r="D17" s="41"/>
      <c r="E17" s="134"/>
      <c r="F17" s="43"/>
      <c r="G17" s="43"/>
      <c r="H17" s="43"/>
      <c r="I17" s="45"/>
      <c r="J17" s="43"/>
      <c r="K17" s="44"/>
      <c r="L17" s="93"/>
      <c r="M17" s="181">
        <v>6</v>
      </c>
      <c r="N17" s="184">
        <f>SUM(N12*6)</f>
        <v>997.80000000000007</v>
      </c>
      <c r="O17" s="173">
        <f>SUM(O12*6)</f>
        <v>717.42</v>
      </c>
      <c r="P17" s="185">
        <f>SUM(P12*6)</f>
        <v>280.38</v>
      </c>
      <c r="Q17" s="190">
        <f>SUM(Q12*6)</f>
        <v>681.78</v>
      </c>
    </row>
    <row r="18" spans="1:18" x14ac:dyDescent="0.25">
      <c r="A18" s="130">
        <v>3</v>
      </c>
      <c r="B18" s="46">
        <f>SUM(K35)</f>
        <v>4790.8458000000001</v>
      </c>
      <c r="C18" s="28">
        <v>1319</v>
      </c>
      <c r="D18" s="29">
        <f>SUM(D35)*30.42</f>
        <v>104.34060000000001</v>
      </c>
      <c r="E18" s="131">
        <f>SUM(B18-C18)</f>
        <v>3471.8458000000001</v>
      </c>
      <c r="F18" s="31">
        <f>SUM(B35+D35)*30.42</f>
        <v>3369.3192000000004</v>
      </c>
      <c r="G18" s="31">
        <f>SUM(F18-C18)</f>
        <v>2050.3192000000004</v>
      </c>
      <c r="H18" s="31">
        <f>SUM(G18*50/100)</f>
        <v>1025.1596000000002</v>
      </c>
      <c r="I18" s="33">
        <f>SUM(E18-H18)</f>
        <v>2446.6862000000001</v>
      </c>
      <c r="J18" s="31">
        <f>SUM(E18-H18)</f>
        <v>2446.6862000000001</v>
      </c>
      <c r="K18" s="32"/>
      <c r="L18" s="92"/>
      <c r="M18" s="181">
        <v>7</v>
      </c>
      <c r="N18" s="184">
        <f>SUM(N12*7)</f>
        <v>1164.1000000000001</v>
      </c>
      <c r="O18" s="173">
        <f>SUM(O12*7)</f>
        <v>836.99</v>
      </c>
      <c r="P18" s="185">
        <f>SUM(P12*7)</f>
        <v>327.10999999999996</v>
      </c>
      <c r="Q18" s="190">
        <f>SUM(Q12*7)</f>
        <v>795.41</v>
      </c>
    </row>
    <row r="19" spans="1:18" ht="15.75" thickBot="1" x14ac:dyDescent="0.3">
      <c r="A19" s="132"/>
      <c r="B19" s="35"/>
      <c r="C19" s="36"/>
      <c r="D19" s="36"/>
      <c r="E19" s="133"/>
      <c r="F19" s="38"/>
      <c r="G19" s="38"/>
      <c r="H19" s="38"/>
      <c r="I19" s="4"/>
      <c r="J19" s="38"/>
      <c r="K19" s="39"/>
      <c r="L19" s="93"/>
      <c r="M19" s="181">
        <v>8</v>
      </c>
      <c r="N19" s="184">
        <f>SUM(N12*8)</f>
        <v>1330.4</v>
      </c>
      <c r="O19" s="173">
        <f>SUM(O12*8)</f>
        <v>956.56</v>
      </c>
      <c r="P19" s="185">
        <f>SUM(P12*8)</f>
        <v>373.84</v>
      </c>
      <c r="Q19" s="190">
        <f>SUM(Q12*8)</f>
        <v>909.04</v>
      </c>
    </row>
    <row r="20" spans="1:18" x14ac:dyDescent="0.25">
      <c r="A20" s="128"/>
      <c r="B20" s="40"/>
      <c r="C20" s="41"/>
      <c r="D20" s="41"/>
      <c r="E20" s="134"/>
      <c r="F20" s="43"/>
      <c r="G20" s="43"/>
      <c r="H20" s="43"/>
      <c r="I20" s="45"/>
      <c r="J20" s="43"/>
      <c r="K20" s="44"/>
      <c r="L20" s="93"/>
      <c r="M20" s="181">
        <v>9</v>
      </c>
      <c r="N20" s="184">
        <f>SUM(N12*9)</f>
        <v>1496.7</v>
      </c>
      <c r="O20" s="173">
        <f>SUM(O12*9)</f>
        <v>1076.1299999999999</v>
      </c>
      <c r="P20" s="185">
        <f>SUM(P12*9)</f>
        <v>420.57</v>
      </c>
      <c r="Q20" s="190">
        <f>SUM(Q12*9)</f>
        <v>1022.67</v>
      </c>
    </row>
    <row r="21" spans="1:18" x14ac:dyDescent="0.25">
      <c r="A21" s="130">
        <v>4</v>
      </c>
      <c r="B21" s="46">
        <f>SUM(K36)</f>
        <v>5326.8462</v>
      </c>
      <c r="C21" s="28">
        <v>1855</v>
      </c>
      <c r="D21" s="29">
        <f>SUM(D36)*30.42</f>
        <v>104.34060000000001</v>
      </c>
      <c r="E21" s="131">
        <f>SUM(B21-C21)</f>
        <v>3471.8462</v>
      </c>
      <c r="F21" s="31">
        <f>SUM(B36+D36)*30.42</f>
        <v>3905.3196000000003</v>
      </c>
      <c r="G21" s="31">
        <f>SUM(F21-C21)</f>
        <v>2050.3196000000003</v>
      </c>
      <c r="H21" s="31">
        <f>SUM(G21*50/100)</f>
        <v>1025.1598000000001</v>
      </c>
      <c r="I21" s="33">
        <f>SUM(E21-H21)</f>
        <v>2446.6863999999996</v>
      </c>
      <c r="J21" s="31">
        <f>SUM(E21-H21)</f>
        <v>2446.6863999999996</v>
      </c>
      <c r="K21" s="32"/>
      <c r="L21" s="92"/>
      <c r="M21" s="181">
        <v>10</v>
      </c>
      <c r="N21" s="184">
        <f>SUM(N12*10)</f>
        <v>1663</v>
      </c>
      <c r="O21" s="173">
        <f>SUM(O12*10)</f>
        <v>1195.6999999999998</v>
      </c>
      <c r="P21" s="185">
        <f>SUM(P12*10)</f>
        <v>467.29999999999995</v>
      </c>
      <c r="Q21" s="190">
        <f>SUM(Q12*10)</f>
        <v>1136.3</v>
      </c>
    </row>
    <row r="22" spans="1:18" ht="15.75" thickBot="1" x14ac:dyDescent="0.3">
      <c r="A22" s="132"/>
      <c r="B22" s="35"/>
      <c r="C22" s="36"/>
      <c r="D22" s="36"/>
      <c r="E22" s="133"/>
      <c r="F22" s="38"/>
      <c r="G22" s="38"/>
      <c r="H22" s="38"/>
      <c r="I22" s="4"/>
      <c r="J22" s="38"/>
      <c r="K22" s="39"/>
      <c r="L22" s="93"/>
      <c r="M22" s="181">
        <v>11</v>
      </c>
      <c r="N22" s="184">
        <f>SUM(N12*11)</f>
        <v>1829.3000000000002</v>
      </c>
      <c r="O22" s="173">
        <f>SUM(O12*11)</f>
        <v>1315.27</v>
      </c>
      <c r="P22" s="185">
        <f>SUM(P12*11)</f>
        <v>514.03</v>
      </c>
      <c r="Q22" s="190">
        <f>SUM(Q12*11)</f>
        <v>1249.9299999999998</v>
      </c>
    </row>
    <row r="23" spans="1:18" x14ac:dyDescent="0.25">
      <c r="A23" s="128"/>
      <c r="B23" s="40"/>
      <c r="C23" s="41"/>
      <c r="D23" s="41"/>
      <c r="E23" s="134"/>
      <c r="F23" s="43"/>
      <c r="G23" s="43"/>
      <c r="H23" s="43"/>
      <c r="I23" s="45"/>
      <c r="J23" s="43"/>
      <c r="K23" s="44"/>
      <c r="L23" s="93"/>
      <c r="M23" s="181">
        <v>12</v>
      </c>
      <c r="N23" s="184">
        <f>SUM(N12*12)</f>
        <v>1995.6000000000001</v>
      </c>
      <c r="O23" s="173">
        <f>SUM(O12*12)</f>
        <v>1434.84</v>
      </c>
      <c r="P23" s="185">
        <f>SUM(P12*12)</f>
        <v>560.76</v>
      </c>
      <c r="Q23" s="190">
        <f>SUM(Q12*12)</f>
        <v>1363.56</v>
      </c>
    </row>
    <row r="24" spans="1:18" x14ac:dyDescent="0.25">
      <c r="A24" s="130">
        <v>5</v>
      </c>
      <c r="B24" s="46">
        <f>SUM(K37)</f>
        <v>5568.0767999999998</v>
      </c>
      <c r="C24" s="28">
        <v>2096</v>
      </c>
      <c r="D24" s="29">
        <f>SUM(D37)*30.42</f>
        <v>104.34060000000001</v>
      </c>
      <c r="E24" s="131">
        <f>SUM(B24-C24)</f>
        <v>3472.0767999999998</v>
      </c>
      <c r="F24" s="31">
        <f>SUM(B37+D37)*30.42</f>
        <v>4146.5502000000006</v>
      </c>
      <c r="G24" s="31">
        <f>SUM(F24-C24)</f>
        <v>2050.5502000000006</v>
      </c>
      <c r="H24" s="31">
        <f>SUM(G24*50/100)</f>
        <v>1025.2751000000003</v>
      </c>
      <c r="I24" s="33">
        <f>SUM(E24-H24)</f>
        <v>2446.8016999999995</v>
      </c>
      <c r="J24" s="31">
        <f>SUM(E24-H24)</f>
        <v>2446.8016999999995</v>
      </c>
      <c r="K24" s="32"/>
      <c r="L24" s="92"/>
      <c r="M24" s="181">
        <v>13</v>
      </c>
      <c r="N24" s="184">
        <f>SUM(N12*13)</f>
        <v>2161.9</v>
      </c>
      <c r="O24" s="173">
        <f>SUM(O12*13)</f>
        <v>1554.4099999999999</v>
      </c>
      <c r="P24" s="185">
        <f>SUM(P12*13)</f>
        <v>607.49</v>
      </c>
      <c r="Q24" s="190">
        <f>SUM(Q12*13)</f>
        <v>1477.19</v>
      </c>
    </row>
    <row r="25" spans="1:18" ht="15.75" thickBot="1" x14ac:dyDescent="0.3">
      <c r="A25" s="132"/>
      <c r="B25" s="48"/>
      <c r="C25" s="49"/>
      <c r="D25" s="49"/>
      <c r="E25" s="135"/>
      <c r="F25" s="50"/>
      <c r="G25" s="50"/>
      <c r="H25" s="50"/>
      <c r="I25" s="4"/>
      <c r="J25" s="50"/>
      <c r="K25" s="51"/>
      <c r="L25" s="93"/>
      <c r="M25" s="181">
        <v>14</v>
      </c>
      <c r="N25" s="184">
        <f>SUM(N12*14)</f>
        <v>2328.2000000000003</v>
      </c>
      <c r="O25" s="173">
        <f>SUM(O12*14)</f>
        <v>1673.98</v>
      </c>
      <c r="P25" s="185">
        <f>SUM(P12*14)</f>
        <v>654.21999999999991</v>
      </c>
      <c r="Q25" s="190">
        <f>SUM(Q12*14)</f>
        <v>1590.82</v>
      </c>
    </row>
    <row r="26" spans="1:18" x14ac:dyDescent="0.25">
      <c r="A26" s="128"/>
      <c r="B26" s="40"/>
      <c r="C26" s="41"/>
      <c r="D26" s="41"/>
      <c r="E26" s="134"/>
      <c r="F26" s="43"/>
      <c r="G26" s="43"/>
      <c r="H26" s="43"/>
      <c r="I26" s="45"/>
      <c r="J26" s="43"/>
      <c r="K26" s="44"/>
      <c r="L26" s="93"/>
      <c r="M26" s="181">
        <v>15</v>
      </c>
      <c r="N26" s="184">
        <f>SUM(N12*15)</f>
        <v>2494.5</v>
      </c>
      <c r="O26" s="173">
        <f>SUM(O12*15)</f>
        <v>1793.55</v>
      </c>
      <c r="P26" s="185">
        <f>SUM(P12*15)</f>
        <v>700.94999999999993</v>
      </c>
      <c r="Q26" s="190">
        <f>SUM(Q12*15)</f>
        <v>1704.4499999999998</v>
      </c>
    </row>
    <row r="27" spans="1:18" x14ac:dyDescent="0.25">
      <c r="A27" s="130" t="s">
        <v>13</v>
      </c>
      <c r="B27" s="87">
        <f>SUM(N40)</f>
        <v>4989</v>
      </c>
      <c r="C27" s="108">
        <v>3539</v>
      </c>
      <c r="D27" s="29">
        <f>SUM(H38)*16</f>
        <v>0</v>
      </c>
      <c r="E27" s="131"/>
      <c r="F27" s="31">
        <f>SUM(B27-C27)</f>
        <v>1450</v>
      </c>
      <c r="G27" s="31"/>
      <c r="H27" s="31"/>
      <c r="I27" s="228">
        <f>SUM(B27-C27)</f>
        <v>1450</v>
      </c>
      <c r="J27" s="31"/>
      <c r="K27" s="32"/>
      <c r="L27" s="93"/>
      <c r="M27" s="181">
        <v>16</v>
      </c>
      <c r="N27" s="184">
        <f>SUM(N12*16)</f>
        <v>2660.8</v>
      </c>
      <c r="O27" s="173">
        <f>SUM(O12*16)</f>
        <v>1913.12</v>
      </c>
      <c r="P27" s="185">
        <f>SUM(P12*16)</f>
        <v>747.68</v>
      </c>
      <c r="Q27" s="190">
        <f>SUM(Q12*16)</f>
        <v>1818.08</v>
      </c>
    </row>
    <row r="28" spans="1:18" ht="15.75" thickBot="1" x14ac:dyDescent="0.3">
      <c r="A28" s="136" t="s">
        <v>40</v>
      </c>
      <c r="B28" s="137"/>
      <c r="C28" s="140"/>
      <c r="D28" s="107"/>
      <c r="E28" s="138"/>
      <c r="F28" s="50"/>
      <c r="G28" s="50"/>
      <c r="H28" s="50"/>
      <c r="I28" s="4"/>
      <c r="J28" s="50"/>
      <c r="K28" s="51"/>
      <c r="L28" s="93"/>
      <c r="M28" s="169">
        <v>17</v>
      </c>
      <c r="N28" s="186">
        <f>SUM(N12*17)</f>
        <v>2827.1000000000004</v>
      </c>
      <c r="O28" s="168">
        <v>1854</v>
      </c>
      <c r="P28" s="187">
        <v>853.93</v>
      </c>
      <c r="Q28" s="191">
        <v>1854</v>
      </c>
      <c r="R28" s="46"/>
    </row>
    <row r="29" spans="1:18" x14ac:dyDescent="0.25">
      <c r="A29" s="53"/>
      <c r="B29" s="53"/>
      <c r="C29" s="53"/>
      <c r="D29" s="53"/>
      <c r="E29" s="53"/>
      <c r="F29" s="53"/>
      <c r="G29" s="53"/>
      <c r="H29" s="53"/>
      <c r="J29" s="53"/>
      <c r="K29" s="53"/>
      <c r="M29" s="181">
        <v>18</v>
      </c>
      <c r="N29" s="184">
        <f>SUM(N12*18)</f>
        <v>2993.4</v>
      </c>
      <c r="O29" s="173">
        <f>SUM(O12*18)</f>
        <v>2152.2599999999998</v>
      </c>
      <c r="P29" s="185">
        <f>SUM(P12*18)</f>
        <v>841.14</v>
      </c>
    </row>
    <row r="30" spans="1:18" ht="16.5" customHeight="1" x14ac:dyDescent="0.25">
      <c r="M30" s="181">
        <v>19</v>
      </c>
      <c r="N30" s="184">
        <f>SUM(N12*19)</f>
        <v>3159.7000000000003</v>
      </c>
      <c r="O30" s="173">
        <f>SUM(O12*19)</f>
        <v>2271.83</v>
      </c>
      <c r="P30" s="185">
        <f>SUM(P12*19)</f>
        <v>887.86999999999989</v>
      </c>
    </row>
    <row r="31" spans="1:18" ht="23.25" customHeight="1" thickBot="1" x14ac:dyDescent="0.3">
      <c r="A31" s="5" t="s">
        <v>20</v>
      </c>
      <c r="B31" s="66"/>
      <c r="C31" s="66"/>
      <c r="D31" s="66"/>
      <c r="E31" s="67"/>
      <c r="F31" s="68"/>
      <c r="G31" s="12"/>
      <c r="H31" s="12"/>
      <c r="I31" s="12"/>
      <c r="J31" s="12"/>
      <c r="K31" s="12"/>
      <c r="M31" s="169">
        <v>20</v>
      </c>
      <c r="N31" s="186">
        <f>SUM(N12*20)</f>
        <v>3326</v>
      </c>
      <c r="O31" s="168">
        <f>SUM(O12*20)</f>
        <v>2391.3999999999996</v>
      </c>
      <c r="P31" s="187">
        <f>SUM(P12*20)</f>
        <v>934.59999999999991</v>
      </c>
    </row>
    <row r="32" spans="1:18" ht="24" customHeight="1" x14ac:dyDescent="0.25">
      <c r="A32" s="249" t="s">
        <v>21</v>
      </c>
      <c r="B32" s="244" t="s">
        <v>22</v>
      </c>
      <c r="C32" s="244" t="s">
        <v>38</v>
      </c>
      <c r="D32" s="55" t="s">
        <v>5</v>
      </c>
      <c r="F32" s="246" t="s">
        <v>25</v>
      </c>
      <c r="G32" s="244" t="s">
        <v>26</v>
      </c>
      <c r="H32" s="244" t="s">
        <v>27</v>
      </c>
      <c r="I32" s="247" t="s">
        <v>24</v>
      </c>
      <c r="J32" s="54"/>
      <c r="K32" s="54"/>
      <c r="M32" s="181">
        <v>21</v>
      </c>
      <c r="N32" s="184">
        <f>SUM(N12*21)</f>
        <v>3492.3</v>
      </c>
      <c r="O32" s="173">
        <f>SUM(O12*21)</f>
        <v>2510.9699999999998</v>
      </c>
      <c r="P32" s="185">
        <f>SUM(P12*21)</f>
        <v>981.32999999999993</v>
      </c>
    </row>
    <row r="33" spans="1:17" ht="21.75" customHeight="1" x14ac:dyDescent="0.25">
      <c r="A33" s="249"/>
      <c r="B33" s="244"/>
      <c r="C33" s="244"/>
      <c r="D33" s="55" t="s">
        <v>28</v>
      </c>
      <c r="F33" s="246"/>
      <c r="G33" s="244"/>
      <c r="H33" s="244"/>
      <c r="I33" s="247"/>
      <c r="J33" s="54"/>
      <c r="K33" s="54"/>
      <c r="M33" s="181">
        <v>22</v>
      </c>
      <c r="N33" s="184">
        <f>SUM(N12*22)</f>
        <v>3658.6000000000004</v>
      </c>
      <c r="O33" s="173">
        <f>SUM(O12*22)</f>
        <v>2630.54</v>
      </c>
      <c r="P33" s="185">
        <f>SUM(P12*22)</f>
        <v>1028.06</v>
      </c>
    </row>
    <row r="34" spans="1:17" x14ac:dyDescent="0.25">
      <c r="A34" s="56">
        <v>2</v>
      </c>
      <c r="B34" s="57">
        <v>90.44</v>
      </c>
      <c r="C34" s="58">
        <v>18.77</v>
      </c>
      <c r="D34" s="58">
        <v>3.43</v>
      </c>
      <c r="F34" s="60">
        <v>15.45</v>
      </c>
      <c r="G34" s="60"/>
      <c r="H34" s="61"/>
      <c r="I34" s="59">
        <v>12.51</v>
      </c>
      <c r="J34" s="62">
        <f>SUM(B34:I34)</f>
        <v>140.6</v>
      </c>
      <c r="K34" s="62">
        <f>SUM(J34)*30.42</f>
        <v>4277.0519999999997</v>
      </c>
      <c r="L34" s="13"/>
      <c r="M34" s="181">
        <v>23</v>
      </c>
      <c r="N34" s="184">
        <f>SUM(N12*23)</f>
        <v>3824.9</v>
      </c>
      <c r="O34" s="173">
        <f>SUM(O12*23)</f>
        <v>2750.1099999999997</v>
      </c>
      <c r="P34" s="185">
        <f>SUM(P12*23)</f>
        <v>1074.79</v>
      </c>
    </row>
    <row r="35" spans="1:17" x14ac:dyDescent="0.25">
      <c r="A35" s="63">
        <v>3</v>
      </c>
      <c r="B35" s="64">
        <v>107.33</v>
      </c>
      <c r="C35" s="58">
        <v>18.77</v>
      </c>
      <c r="D35" s="58">
        <v>3.43</v>
      </c>
      <c r="F35" s="60">
        <v>15.45</v>
      </c>
      <c r="G35" s="60"/>
      <c r="H35" s="61"/>
      <c r="I35" s="59">
        <v>12.51</v>
      </c>
      <c r="J35" s="62">
        <f>SUM(B35:I35)</f>
        <v>157.48999999999998</v>
      </c>
      <c r="K35" s="62">
        <f>SUM(J35)*30.42</f>
        <v>4790.8458000000001</v>
      </c>
      <c r="L35" s="13"/>
      <c r="M35" s="181">
        <v>24</v>
      </c>
      <c r="N35" s="184">
        <f>SUM(N12*24)</f>
        <v>3991.2000000000003</v>
      </c>
      <c r="O35" s="173">
        <f>SUM(O12*24)</f>
        <v>2869.68</v>
      </c>
      <c r="P35" s="185">
        <f>SUM(P12*24)</f>
        <v>1121.52</v>
      </c>
    </row>
    <row r="36" spans="1:17" x14ac:dyDescent="0.25">
      <c r="A36" s="63">
        <v>4</v>
      </c>
      <c r="B36" s="64">
        <v>124.95</v>
      </c>
      <c r="C36" s="58">
        <v>18.77</v>
      </c>
      <c r="D36" s="58">
        <v>3.43</v>
      </c>
      <c r="F36" s="60">
        <v>15.45</v>
      </c>
      <c r="G36" s="60"/>
      <c r="H36" s="61"/>
      <c r="I36" s="59">
        <v>12.51</v>
      </c>
      <c r="J36" s="62">
        <f>SUM(B36:I36)</f>
        <v>175.10999999999999</v>
      </c>
      <c r="K36" s="62">
        <f>SUM(J36)*30.42</f>
        <v>5326.8462</v>
      </c>
      <c r="L36" s="13"/>
      <c r="M36" s="181">
        <v>25</v>
      </c>
      <c r="N36" s="184">
        <f>SUM(N12*25)</f>
        <v>4157.5</v>
      </c>
      <c r="O36" s="173">
        <f>SUM(O12*25)</f>
        <v>2989.25</v>
      </c>
      <c r="P36" s="185">
        <f>SUM(P12*25)</f>
        <v>1168.25</v>
      </c>
    </row>
    <row r="37" spans="1:17" x14ac:dyDescent="0.25">
      <c r="A37" s="63">
        <v>5</v>
      </c>
      <c r="B37" s="64">
        <v>132.88</v>
      </c>
      <c r="C37" s="58">
        <v>18.77</v>
      </c>
      <c r="D37" s="58">
        <v>3.43</v>
      </c>
      <c r="F37" s="60">
        <v>15.45</v>
      </c>
      <c r="G37" s="60"/>
      <c r="H37" s="61"/>
      <c r="I37" s="59">
        <v>12.51</v>
      </c>
      <c r="J37" s="62">
        <f>SUM(B37:I37)</f>
        <v>183.04</v>
      </c>
      <c r="K37" s="62">
        <f>SUM(J37)*30.42</f>
        <v>5568.0767999999998</v>
      </c>
      <c r="L37" s="13"/>
      <c r="M37" s="181">
        <v>26</v>
      </c>
      <c r="N37" s="184">
        <f>SUM(N12*26)</f>
        <v>4323.8</v>
      </c>
      <c r="O37" s="173">
        <f>SUM(O12*26)</f>
        <v>3108.8199999999997</v>
      </c>
      <c r="P37" s="185">
        <f>SUM(P12*26)</f>
        <v>1214.98</v>
      </c>
    </row>
    <row r="38" spans="1:17" x14ac:dyDescent="0.25">
      <c r="A38" s="65" t="s">
        <v>13</v>
      </c>
      <c r="B38" s="64">
        <v>116.14</v>
      </c>
      <c r="C38" s="58">
        <v>18.77</v>
      </c>
      <c r="D38" s="58">
        <v>3.43</v>
      </c>
      <c r="F38" s="60">
        <v>15.45</v>
      </c>
      <c r="G38" s="60"/>
      <c r="H38" s="61"/>
      <c r="I38" s="59">
        <v>12.51</v>
      </c>
      <c r="J38" s="62">
        <f>SUM(B38:I38)</f>
        <v>166.29999999999998</v>
      </c>
      <c r="K38" s="62">
        <f>SUM(J38*30)</f>
        <v>4988.9999999999991</v>
      </c>
      <c r="L38" s="13"/>
      <c r="M38" s="181">
        <v>27</v>
      </c>
      <c r="N38" s="184">
        <f>SUM(N12*27)</f>
        <v>4490.1000000000004</v>
      </c>
      <c r="O38" s="173">
        <f>SUM(O12*27)</f>
        <v>3228.39</v>
      </c>
      <c r="P38" s="185">
        <f>SUM(P12*27)</f>
        <v>1261.7099999999998</v>
      </c>
    </row>
    <row r="39" spans="1:17" x14ac:dyDescent="0.25">
      <c r="A39" s="7"/>
      <c r="B39" s="8"/>
      <c r="C39" s="9"/>
      <c r="D39" s="9"/>
      <c r="E39" s="10"/>
      <c r="F39" s="10"/>
      <c r="G39" s="10"/>
      <c r="H39" s="10"/>
      <c r="I39" s="6"/>
      <c r="J39" s="10"/>
      <c r="K39" s="10"/>
      <c r="L39" s="6"/>
      <c r="M39" s="181">
        <v>28</v>
      </c>
      <c r="N39" s="184">
        <f>SUM(N12*28)</f>
        <v>4656.4000000000005</v>
      </c>
      <c r="O39" s="173">
        <f>SUM(O12*28)</f>
        <v>3347.96</v>
      </c>
      <c r="P39" s="185">
        <f>SUM(P12*28)</f>
        <v>1308.4399999999998</v>
      </c>
    </row>
    <row r="40" spans="1:17" x14ac:dyDescent="0.25">
      <c r="A40" s="11" t="s">
        <v>29</v>
      </c>
      <c r="B40" s="12" t="s">
        <v>30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81">
        <v>30</v>
      </c>
      <c r="N40" s="184">
        <f>SUM(N12*30)</f>
        <v>4989</v>
      </c>
      <c r="O40" s="173">
        <v>3539</v>
      </c>
      <c r="P40" s="185">
        <f>SUM(N40-O40)</f>
        <v>1450</v>
      </c>
      <c r="Q40" s="12"/>
    </row>
    <row r="41" spans="1:17" x14ac:dyDescent="0.25">
      <c r="A41" s="11" t="s">
        <v>29</v>
      </c>
      <c r="B41" s="12" t="s">
        <v>44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29</v>
      </c>
      <c r="B42" s="12" t="s">
        <v>43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7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</sheetData>
  <mergeCells count="8">
    <mergeCell ref="I12:I13"/>
    <mergeCell ref="H32:H33"/>
    <mergeCell ref="A32:A33"/>
    <mergeCell ref="B32:B33"/>
    <mergeCell ref="C32:C33"/>
    <mergeCell ref="I32:I33"/>
    <mergeCell ref="F32:F33"/>
    <mergeCell ref="G32:G33"/>
  </mergeCells>
  <pageMargins left="0.7" right="0.53125" top="0.78740157499999996" bottom="0.78740157499999996" header="0.3" footer="0.3"/>
  <pageSetup paperSize="9" orientation="portrait" r:id="rId1"/>
  <headerFooter>
    <oddFooter xml:space="preserve">&amp;LStand: 01.01.2024&amp;RFreigabe: HL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E13E-FADF-4184-BED6-DAD61D36DA11}">
  <dimension ref="A6:P45"/>
  <sheetViews>
    <sheetView view="pageLayout" zoomScaleNormal="100" workbookViewId="0">
      <selection activeCell="Q22" sqref="Q22"/>
    </sheetView>
  </sheetViews>
  <sheetFormatPr baseColWidth="10" defaultRowHeight="15" x14ac:dyDescent="0.25"/>
  <cols>
    <col min="1" max="1" width="9.5703125" customWidth="1"/>
    <col min="2" max="2" width="11.5703125" customWidth="1"/>
    <col min="3" max="3" width="9.85546875" customWidth="1"/>
    <col min="4" max="4" width="10.140625" customWidth="1"/>
    <col min="5" max="5" width="12.28515625" customWidth="1"/>
    <col min="6" max="6" width="12.5703125" hidden="1" customWidth="1"/>
    <col min="7" max="8" width="0.140625" hidden="1" customWidth="1"/>
    <col min="9" max="9" width="12.85546875" hidden="1" customWidth="1"/>
    <col min="10" max="10" width="19.28515625" hidden="1" customWidth="1"/>
    <col min="11" max="11" width="1.85546875" hidden="1" customWidth="1"/>
    <col min="12" max="12" width="1.140625" customWidth="1"/>
    <col min="13" max="13" width="4.85546875" customWidth="1"/>
    <col min="14" max="14" width="10.7109375" customWidth="1"/>
    <col min="15" max="15" width="10.140625" customWidth="1"/>
    <col min="16" max="16" width="10.85546875" customWidth="1"/>
  </cols>
  <sheetData>
    <row r="6" spans="1:16" ht="18.75" x14ac:dyDescent="0.3">
      <c r="B6" s="86" t="s">
        <v>46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8" spans="1:16" ht="15.75" thickBot="1" x14ac:dyDescent="0.3">
      <c r="A8" t="s">
        <v>31</v>
      </c>
      <c r="M8" t="s">
        <v>32</v>
      </c>
    </row>
    <row r="9" spans="1:16" x14ac:dyDescent="0.25">
      <c r="A9" s="122"/>
      <c r="B9" s="123" t="s">
        <v>0</v>
      </c>
      <c r="C9" s="123"/>
      <c r="D9" s="123"/>
      <c r="E9" s="124"/>
      <c r="K9" s="53"/>
      <c r="L9" s="53"/>
      <c r="M9" s="70" t="s">
        <v>14</v>
      </c>
      <c r="N9" s="71" t="s">
        <v>15</v>
      </c>
      <c r="O9" s="171" t="s">
        <v>4</v>
      </c>
      <c r="P9" s="234" t="s">
        <v>4</v>
      </c>
    </row>
    <row r="10" spans="1:16" ht="15.75" thickBot="1" x14ac:dyDescent="0.3">
      <c r="A10" s="125"/>
      <c r="B10" s="53"/>
      <c r="C10" s="73" t="s">
        <v>1</v>
      </c>
      <c r="D10" s="73"/>
      <c r="E10" s="89"/>
      <c r="F10" s="75"/>
      <c r="G10" s="75"/>
      <c r="H10" s="75"/>
      <c r="I10" s="75"/>
      <c r="J10" s="75"/>
      <c r="K10" s="53"/>
      <c r="L10" s="53"/>
      <c r="M10" s="76"/>
      <c r="N10" s="230" t="s">
        <v>16</v>
      </c>
      <c r="O10" s="236" t="s">
        <v>17</v>
      </c>
      <c r="P10" s="237" t="s">
        <v>18</v>
      </c>
    </row>
    <row r="11" spans="1:16" ht="15.75" thickBot="1" x14ac:dyDescent="0.3">
      <c r="A11" s="126" t="s">
        <v>2</v>
      </c>
      <c r="B11" s="53" t="s">
        <v>3</v>
      </c>
      <c r="C11" s="78" t="s">
        <v>4</v>
      </c>
      <c r="D11" s="78" t="s">
        <v>5</v>
      </c>
      <c r="E11" s="79"/>
      <c r="F11" s="80"/>
      <c r="G11" s="81"/>
      <c r="H11" s="81"/>
      <c r="I11" s="81"/>
      <c r="J11" s="81"/>
      <c r="K11" s="53"/>
      <c r="L11" s="53"/>
      <c r="M11" s="112"/>
      <c r="N11" s="177"/>
      <c r="O11" s="236" t="s">
        <v>19</v>
      </c>
      <c r="P11" s="237"/>
    </row>
    <row r="12" spans="1:16" x14ac:dyDescent="0.25">
      <c r="A12" s="126" t="s">
        <v>7</v>
      </c>
      <c r="B12" s="53"/>
      <c r="C12" s="82" t="s">
        <v>2</v>
      </c>
      <c r="D12" s="82" t="s">
        <v>8</v>
      </c>
      <c r="E12" s="242" t="s">
        <v>36</v>
      </c>
      <c r="F12" s="84"/>
      <c r="G12" s="85"/>
      <c r="H12" s="85"/>
      <c r="I12" s="85"/>
      <c r="J12" s="114"/>
      <c r="L12" s="53"/>
      <c r="M12" s="120">
        <v>1</v>
      </c>
      <c r="N12" s="235">
        <v>166.3</v>
      </c>
      <c r="O12" s="238">
        <v>119.57</v>
      </c>
      <c r="P12" s="239">
        <v>46.73</v>
      </c>
    </row>
    <row r="13" spans="1:16" ht="15.75" customHeight="1" thickBot="1" x14ac:dyDescent="0.3">
      <c r="A13" s="127"/>
      <c r="C13" s="15" t="s">
        <v>10</v>
      </c>
      <c r="D13" s="15" t="s">
        <v>11</v>
      </c>
      <c r="E13" s="243"/>
      <c r="F13" s="17"/>
      <c r="G13" s="18"/>
      <c r="H13" s="19">
        <v>0.75</v>
      </c>
      <c r="I13" s="19">
        <v>0.75</v>
      </c>
      <c r="J13" s="95"/>
      <c r="L13" s="91"/>
      <c r="M13" s="110">
        <v>2</v>
      </c>
      <c r="N13" s="231">
        <f>SUM(N12*2)</f>
        <v>332.6</v>
      </c>
      <c r="O13" s="240">
        <f>SUM(O12*2)</f>
        <v>239.14</v>
      </c>
      <c r="P13" s="241">
        <f>SUM(P12*2)</f>
        <v>93.46</v>
      </c>
    </row>
    <row r="14" spans="1:16" x14ac:dyDescent="0.25">
      <c r="A14" s="128"/>
      <c r="B14" s="21"/>
      <c r="C14" s="22"/>
      <c r="D14" s="22"/>
      <c r="E14" s="115"/>
      <c r="F14" s="24"/>
      <c r="G14" s="24"/>
      <c r="H14" s="24"/>
      <c r="I14" s="24"/>
      <c r="J14" s="25"/>
      <c r="L14" s="88"/>
      <c r="M14" s="110">
        <v>3</v>
      </c>
      <c r="N14" s="231">
        <f>SUM(N12*3)</f>
        <v>498.90000000000003</v>
      </c>
      <c r="O14" s="240">
        <f>SUM(O12*3)</f>
        <v>358.71</v>
      </c>
      <c r="P14" s="241">
        <f>SUM(P12*3)</f>
        <v>140.19</v>
      </c>
    </row>
    <row r="15" spans="1:16" x14ac:dyDescent="0.25">
      <c r="A15" s="130">
        <v>2</v>
      </c>
      <c r="B15" s="27">
        <f>SUM(J34)</f>
        <v>4277.0519999999997</v>
      </c>
      <c r="C15" s="28">
        <v>805</v>
      </c>
      <c r="D15" s="29">
        <f>SUM(D34)*30.42</f>
        <v>104.34060000000001</v>
      </c>
      <c r="E15" s="33">
        <f>SUM(B15-C15-H15)</f>
        <v>1934.1579499999993</v>
      </c>
      <c r="F15" s="31">
        <f>SUM(B34+D34)*30.42</f>
        <v>2855.5254000000004</v>
      </c>
      <c r="G15" s="31">
        <f>SUM(F15-C15)</f>
        <v>2050.5254000000004</v>
      </c>
      <c r="H15" s="31">
        <f>SUM(G15*75)/100</f>
        <v>1537.8940500000003</v>
      </c>
      <c r="I15" s="31" t="e">
        <f>SUM(#REF!-H15)</f>
        <v>#REF!</v>
      </c>
      <c r="J15" s="32"/>
      <c r="L15" s="92"/>
      <c r="M15" s="110">
        <v>4</v>
      </c>
      <c r="N15" s="231">
        <f>SUM(N12*4)</f>
        <v>665.2</v>
      </c>
      <c r="O15" s="240">
        <f>SUM(O12*4)</f>
        <v>478.28</v>
      </c>
      <c r="P15" s="241">
        <f>SUM(P12*4)</f>
        <v>186.92</v>
      </c>
    </row>
    <row r="16" spans="1:16" ht="15.75" thickBot="1" x14ac:dyDescent="0.3">
      <c r="A16" s="132"/>
      <c r="B16" s="35"/>
      <c r="C16" s="36"/>
      <c r="D16" s="36"/>
      <c r="E16" s="4"/>
      <c r="F16" s="38"/>
      <c r="G16" s="38"/>
      <c r="H16" s="38"/>
      <c r="I16" s="38"/>
      <c r="J16" s="39"/>
      <c r="L16" s="93"/>
      <c r="M16" s="110">
        <v>5</v>
      </c>
      <c r="N16" s="231">
        <f>SUM(N12*5)</f>
        <v>831.5</v>
      </c>
      <c r="O16" s="240">
        <f>SUM(O12*5)</f>
        <v>597.84999999999991</v>
      </c>
      <c r="P16" s="241">
        <f>SUM(P12*5)</f>
        <v>233.64999999999998</v>
      </c>
    </row>
    <row r="17" spans="1:16" x14ac:dyDescent="0.25">
      <c r="A17" s="128"/>
      <c r="B17" s="40"/>
      <c r="C17" s="41"/>
      <c r="D17" s="41"/>
      <c r="E17" s="45"/>
      <c r="F17" s="43"/>
      <c r="G17" s="43"/>
      <c r="H17" s="43"/>
      <c r="I17" s="43"/>
      <c r="J17" s="44"/>
      <c r="L17" s="93"/>
      <c r="M17" s="110">
        <v>6</v>
      </c>
      <c r="N17" s="231">
        <f>SUM(N12*6)</f>
        <v>997.80000000000007</v>
      </c>
      <c r="O17" s="240">
        <f>SUM(O12*6)</f>
        <v>717.42</v>
      </c>
      <c r="P17" s="241">
        <f>SUM(P12*6)</f>
        <v>280.38</v>
      </c>
    </row>
    <row r="18" spans="1:16" x14ac:dyDescent="0.25">
      <c r="A18" s="130">
        <v>3</v>
      </c>
      <c r="B18" s="46">
        <v>4790.8500000000004</v>
      </c>
      <c r="C18" s="28">
        <v>1319</v>
      </c>
      <c r="D18" s="29">
        <f>SUM(D35)*30.42</f>
        <v>104.34060000000001</v>
      </c>
      <c r="E18" s="47">
        <f>SUM(B18-C18-H18)</f>
        <v>1934.1106</v>
      </c>
      <c r="F18" s="31">
        <f>SUM(B35+D35)*30.42</f>
        <v>3369.3192000000004</v>
      </c>
      <c r="G18" s="31">
        <f>SUM(F18-C18)</f>
        <v>2050.3192000000004</v>
      </c>
      <c r="H18" s="31">
        <f>SUM(G18*75)/100</f>
        <v>1537.7394000000004</v>
      </c>
      <c r="I18" s="31" t="e">
        <f>SUM(#REF!-H18)</f>
        <v>#REF!</v>
      </c>
      <c r="J18" s="32"/>
      <c r="L18" s="92"/>
      <c r="M18" s="110">
        <v>7</v>
      </c>
      <c r="N18" s="231">
        <f>SUM(N12*7)</f>
        <v>1164.1000000000001</v>
      </c>
      <c r="O18" s="240">
        <f>SUM(O12*7)</f>
        <v>836.99</v>
      </c>
      <c r="P18" s="241">
        <f>SUM(P12*7)</f>
        <v>327.10999999999996</v>
      </c>
    </row>
    <row r="19" spans="1:16" ht="15.75" thickBot="1" x14ac:dyDescent="0.3">
      <c r="A19" s="132"/>
      <c r="B19" s="35"/>
      <c r="C19" s="36"/>
      <c r="D19" s="36"/>
      <c r="E19" s="4"/>
      <c r="F19" s="38"/>
      <c r="G19" s="38"/>
      <c r="H19" s="38"/>
      <c r="I19" s="38"/>
      <c r="J19" s="39"/>
      <c r="L19" s="93"/>
      <c r="M19" s="110">
        <v>8</v>
      </c>
      <c r="N19" s="231">
        <f>SUM(N12*8)</f>
        <v>1330.4</v>
      </c>
      <c r="O19" s="240">
        <f>SUM(O12*8)</f>
        <v>956.56</v>
      </c>
      <c r="P19" s="241">
        <f>SUM(P12*8)</f>
        <v>373.84</v>
      </c>
    </row>
    <row r="20" spans="1:16" x14ac:dyDescent="0.25">
      <c r="A20" s="128"/>
      <c r="B20" s="40"/>
      <c r="C20" s="41"/>
      <c r="D20" s="41"/>
      <c r="E20" s="45"/>
      <c r="F20" s="43"/>
      <c r="G20" s="43"/>
      <c r="H20" s="43"/>
      <c r="I20" s="43"/>
      <c r="J20" s="44"/>
      <c r="L20" s="93"/>
      <c r="M20" s="110">
        <v>9</v>
      </c>
      <c r="N20" s="231">
        <f>SUM(N12*9)</f>
        <v>1496.7</v>
      </c>
      <c r="O20" s="240">
        <f>SUM(O12*9)</f>
        <v>1076.1299999999999</v>
      </c>
      <c r="P20" s="241">
        <f>SUM(P12*9)</f>
        <v>420.57</v>
      </c>
    </row>
    <row r="21" spans="1:16" x14ac:dyDescent="0.25">
      <c r="A21" s="130">
        <v>4</v>
      </c>
      <c r="B21" s="46">
        <v>5326.85</v>
      </c>
      <c r="C21" s="28">
        <v>1855</v>
      </c>
      <c r="D21" s="29">
        <f>SUM(D36)*30.42</f>
        <v>104.34060000000001</v>
      </c>
      <c r="E21" s="47">
        <f>SUM(B21-C21-H21)</f>
        <v>1934.1103000000001</v>
      </c>
      <c r="F21" s="31">
        <f>SUM(B36+D36)*30.42</f>
        <v>3905.3196000000003</v>
      </c>
      <c r="G21" s="31">
        <f>SUM(F21-C21)</f>
        <v>2050.3196000000003</v>
      </c>
      <c r="H21" s="31">
        <f>SUM(G21*75)/100</f>
        <v>1537.7397000000003</v>
      </c>
      <c r="I21" s="31" t="e">
        <f>SUM(#REF!-H21)</f>
        <v>#REF!</v>
      </c>
      <c r="J21" s="32"/>
      <c r="L21" s="92"/>
      <c r="M21" s="110">
        <v>10</v>
      </c>
      <c r="N21" s="231">
        <f>SUM(N12*10)</f>
        <v>1663</v>
      </c>
      <c r="O21" s="240">
        <f>SUM(O12*10)</f>
        <v>1195.6999999999998</v>
      </c>
      <c r="P21" s="241">
        <f>SUM(P12*10)</f>
        <v>467.29999999999995</v>
      </c>
    </row>
    <row r="22" spans="1:16" ht="15.75" thickBot="1" x14ac:dyDescent="0.3">
      <c r="A22" s="132"/>
      <c r="B22" s="35"/>
      <c r="C22" s="36"/>
      <c r="D22" s="36"/>
      <c r="E22" s="4"/>
      <c r="F22" s="38"/>
      <c r="G22" s="38"/>
      <c r="H22" s="38"/>
      <c r="I22" s="38"/>
      <c r="J22" s="39"/>
      <c r="L22" s="93"/>
      <c r="M22" s="110">
        <v>11</v>
      </c>
      <c r="N22" s="231">
        <f>SUM(N12*11)</f>
        <v>1829.3000000000002</v>
      </c>
      <c r="O22" s="240">
        <f>SUM(O12*11)</f>
        <v>1315.27</v>
      </c>
      <c r="P22" s="241">
        <f>SUM(P12*11)</f>
        <v>514.03</v>
      </c>
    </row>
    <row r="23" spans="1:16" x14ac:dyDescent="0.25">
      <c r="A23" s="128"/>
      <c r="B23" s="40"/>
      <c r="C23" s="41"/>
      <c r="D23" s="41"/>
      <c r="E23" s="45"/>
      <c r="F23" s="43"/>
      <c r="G23" s="43"/>
      <c r="H23" s="43"/>
      <c r="I23" s="43"/>
      <c r="J23" s="44"/>
      <c r="L23" s="93"/>
      <c r="M23" s="110">
        <v>12</v>
      </c>
      <c r="N23" s="231">
        <f>SUM(N12*12)</f>
        <v>1995.6000000000001</v>
      </c>
      <c r="O23" s="240">
        <f>SUM(O12*12)</f>
        <v>1434.84</v>
      </c>
      <c r="P23" s="241">
        <f>SUM(P12*12)</f>
        <v>560.76</v>
      </c>
    </row>
    <row r="24" spans="1:16" x14ac:dyDescent="0.25">
      <c r="A24" s="130">
        <v>5</v>
      </c>
      <c r="B24" s="46">
        <f>SUM(J37)</f>
        <v>5568.0767999999998</v>
      </c>
      <c r="C24" s="28">
        <v>2096</v>
      </c>
      <c r="D24" s="29">
        <f>SUM(D37)*30.42</f>
        <v>104.34060000000001</v>
      </c>
      <c r="E24" s="47">
        <f>SUM(B24-C24-H24)</f>
        <v>1934.1641499999994</v>
      </c>
      <c r="F24" s="31">
        <f>SUM(B37+D37)*30.42</f>
        <v>4146.5502000000006</v>
      </c>
      <c r="G24" s="31">
        <f>SUM(F24-C24)</f>
        <v>2050.5502000000006</v>
      </c>
      <c r="H24" s="31">
        <f>SUM(G24*75)/100</f>
        <v>1537.9126500000004</v>
      </c>
      <c r="I24" s="31" t="e">
        <f>SUM(#REF!-H24)</f>
        <v>#REF!</v>
      </c>
      <c r="J24" s="32"/>
      <c r="L24" s="92"/>
      <c r="M24" s="110">
        <v>13</v>
      </c>
      <c r="N24" s="231">
        <f>SUM(N12*13)</f>
        <v>2161.9</v>
      </c>
      <c r="O24" s="240">
        <f>SUM(O12*13)</f>
        <v>1554.4099999999999</v>
      </c>
      <c r="P24" s="241">
        <f>SUM(P12*13)</f>
        <v>607.49</v>
      </c>
    </row>
    <row r="25" spans="1:16" ht="15.75" thickBot="1" x14ac:dyDescent="0.3">
      <c r="A25" s="132"/>
      <c r="B25" s="48"/>
      <c r="C25" s="103"/>
      <c r="D25" s="49"/>
      <c r="E25" s="4"/>
      <c r="F25" s="50"/>
      <c r="G25" s="50"/>
      <c r="H25" s="50"/>
      <c r="I25" s="50"/>
      <c r="J25" s="51"/>
      <c r="L25" s="93"/>
      <c r="M25" s="110">
        <v>14</v>
      </c>
      <c r="N25" s="231">
        <f>SUM(N12*14)</f>
        <v>2328.2000000000003</v>
      </c>
      <c r="O25" s="240">
        <f>SUM(O12*14)</f>
        <v>1673.98</v>
      </c>
      <c r="P25" s="241">
        <f>SUM(P12*14)</f>
        <v>654.21999999999991</v>
      </c>
    </row>
    <row r="26" spans="1:16" x14ac:dyDescent="0.25">
      <c r="A26" s="128"/>
      <c r="B26" s="40"/>
      <c r="C26" s="117"/>
      <c r="D26" s="40"/>
      <c r="E26" s="45"/>
      <c r="F26" s="43"/>
      <c r="G26" s="43"/>
      <c r="H26" s="43"/>
      <c r="I26" s="43"/>
      <c r="J26" s="44"/>
      <c r="L26" s="93"/>
      <c r="M26" s="110">
        <v>15</v>
      </c>
      <c r="N26" s="231">
        <f>SUM(N12*15)</f>
        <v>2494.5</v>
      </c>
      <c r="O26" s="240">
        <f>SUM(O12*15)</f>
        <v>1793.55</v>
      </c>
      <c r="P26" s="241">
        <f>SUM(P12*15)</f>
        <v>700.94999999999993</v>
      </c>
    </row>
    <row r="27" spans="1:16" x14ac:dyDescent="0.25">
      <c r="A27" s="130" t="s">
        <v>13</v>
      </c>
      <c r="B27" s="28">
        <f>SUM(J38)</f>
        <v>4989</v>
      </c>
      <c r="C27" s="118">
        <v>3539</v>
      </c>
      <c r="D27" s="116"/>
      <c r="E27" s="228">
        <f>SUM(B27-C27)</f>
        <v>1450</v>
      </c>
      <c r="F27" s="31">
        <f>SUM(B27-C27)</f>
        <v>1450</v>
      </c>
      <c r="G27" s="31"/>
      <c r="H27" s="31"/>
      <c r="I27" s="31"/>
      <c r="J27" s="32"/>
      <c r="L27" s="93"/>
      <c r="M27" s="111">
        <v>16</v>
      </c>
      <c r="N27" s="232">
        <f>SUM(N12*16)</f>
        <v>2660.8</v>
      </c>
      <c r="O27" s="240">
        <f>SUM(O12*16)</f>
        <v>1913.12</v>
      </c>
      <c r="P27" s="241">
        <f>SUM(P12*16)</f>
        <v>747.68</v>
      </c>
    </row>
    <row r="28" spans="1:16" ht="15.75" thickBot="1" x14ac:dyDescent="0.3">
      <c r="A28" s="136" t="s">
        <v>40</v>
      </c>
      <c r="B28" s="137"/>
      <c r="C28" s="119"/>
      <c r="D28" s="137"/>
      <c r="E28" s="4"/>
      <c r="F28" s="50"/>
      <c r="G28" s="50"/>
      <c r="H28" s="50"/>
      <c r="I28" s="50"/>
      <c r="J28" s="51"/>
      <c r="L28" s="93"/>
      <c r="M28" s="121">
        <v>17</v>
      </c>
      <c r="N28" s="233">
        <f>SUM(N12*17)</f>
        <v>2827.1000000000004</v>
      </c>
      <c r="O28" s="240">
        <f>SUM(O12*17)</f>
        <v>2032.6899999999998</v>
      </c>
      <c r="P28" s="241">
        <f>SUM(P12*17)</f>
        <v>794.41</v>
      </c>
    </row>
    <row r="29" spans="1:16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M29" s="110">
        <v>18</v>
      </c>
      <c r="N29" s="231">
        <f>SUM(N12*18)</f>
        <v>2993.4</v>
      </c>
      <c r="O29" s="240">
        <f>SUM(O12*18)</f>
        <v>2152.2599999999998</v>
      </c>
      <c r="P29" s="241">
        <f>SUM(P12*18)</f>
        <v>841.14</v>
      </c>
    </row>
    <row r="30" spans="1:16" x14ac:dyDescent="0.25">
      <c r="M30" s="110">
        <v>19</v>
      </c>
      <c r="N30" s="232">
        <f>SUM(N12*19)</f>
        <v>3159.7000000000003</v>
      </c>
      <c r="O30" s="240">
        <f>SUM(O12*19)</f>
        <v>2271.83</v>
      </c>
      <c r="P30" s="241">
        <f>SUM(P12*19)</f>
        <v>887.86999999999989</v>
      </c>
    </row>
    <row r="31" spans="1:16" ht="15.75" thickBot="1" x14ac:dyDescent="0.3">
      <c r="A31" s="5" t="s">
        <v>20</v>
      </c>
      <c r="B31" s="66"/>
      <c r="C31" s="66"/>
      <c r="D31" s="66"/>
      <c r="E31" s="67"/>
      <c r="F31" s="68"/>
      <c r="G31" s="12"/>
      <c r="H31" s="12"/>
      <c r="I31" s="12"/>
      <c r="J31" s="12"/>
      <c r="K31" s="12"/>
      <c r="M31" s="111">
        <v>20</v>
      </c>
      <c r="N31" s="233">
        <f>SUM(N12*20)</f>
        <v>3326</v>
      </c>
      <c r="O31" s="240">
        <f>SUM(O12*20)</f>
        <v>2391.3999999999996</v>
      </c>
      <c r="P31" s="241">
        <f>SUM(P12*20)</f>
        <v>934.59999999999991</v>
      </c>
    </row>
    <row r="32" spans="1:16" ht="15.75" thickBot="1" x14ac:dyDescent="0.3">
      <c r="A32" s="244" t="s">
        <v>21</v>
      </c>
      <c r="B32" s="244" t="s">
        <v>22</v>
      </c>
      <c r="C32" s="244" t="s">
        <v>23</v>
      </c>
      <c r="D32" s="55" t="s">
        <v>5</v>
      </c>
      <c r="E32" s="245" t="s">
        <v>24</v>
      </c>
      <c r="F32" s="246" t="s">
        <v>25</v>
      </c>
      <c r="G32" s="244" t="s">
        <v>26</v>
      </c>
      <c r="H32" s="244" t="s">
        <v>27</v>
      </c>
      <c r="I32" s="54"/>
      <c r="J32" s="54"/>
      <c r="M32" s="121">
        <v>21</v>
      </c>
      <c r="N32" s="231">
        <f>SUM(N12*21)</f>
        <v>3492.3</v>
      </c>
      <c r="O32" s="240">
        <f>SUM(O12*21)</f>
        <v>2510.9699999999998</v>
      </c>
      <c r="P32" s="241">
        <f>SUM(P12*21)</f>
        <v>981.32999999999993</v>
      </c>
    </row>
    <row r="33" spans="1:16" ht="15.75" thickBot="1" x14ac:dyDescent="0.3">
      <c r="A33" s="244"/>
      <c r="B33" s="244"/>
      <c r="C33" s="244"/>
      <c r="D33" s="55" t="s">
        <v>28</v>
      </c>
      <c r="E33" s="245"/>
      <c r="F33" s="246"/>
      <c r="G33" s="244"/>
      <c r="H33" s="244"/>
      <c r="I33" s="54"/>
      <c r="J33" s="54"/>
      <c r="M33" s="110">
        <v>22</v>
      </c>
      <c r="N33" s="233">
        <f>SUM(N12*22)</f>
        <v>3658.6000000000004</v>
      </c>
      <c r="O33" s="240">
        <f>SUM(O12*22)</f>
        <v>2630.54</v>
      </c>
      <c r="P33" s="241">
        <f>SUM(P12*22)</f>
        <v>1028.06</v>
      </c>
    </row>
    <row r="34" spans="1:16" ht="15.75" thickBot="1" x14ac:dyDescent="0.3">
      <c r="A34" s="56">
        <v>2</v>
      </c>
      <c r="B34" s="57">
        <v>90.44</v>
      </c>
      <c r="C34" s="58">
        <v>18.77</v>
      </c>
      <c r="D34" s="58">
        <v>3.43</v>
      </c>
      <c r="E34" s="59">
        <v>12.51</v>
      </c>
      <c r="F34" s="60">
        <v>15.45</v>
      </c>
      <c r="G34" s="60"/>
      <c r="H34" s="58"/>
      <c r="I34" s="62">
        <f>SUM(B34:F34)</f>
        <v>140.6</v>
      </c>
      <c r="J34" s="62">
        <f>SUM(I34)*30.42</f>
        <v>4277.0519999999997</v>
      </c>
      <c r="L34" s="13"/>
      <c r="M34" s="111">
        <v>23</v>
      </c>
      <c r="N34" s="233">
        <f>SUM(N12*23)</f>
        <v>3824.9</v>
      </c>
      <c r="O34" s="240">
        <f>SUM(O12*23)</f>
        <v>2750.1099999999997</v>
      </c>
      <c r="P34" s="241">
        <f>SUM(P12*23)</f>
        <v>1074.79</v>
      </c>
    </row>
    <row r="35" spans="1:16" ht="15.75" thickBot="1" x14ac:dyDescent="0.3">
      <c r="A35" s="63">
        <v>3</v>
      </c>
      <c r="B35" s="64">
        <v>107.33</v>
      </c>
      <c r="C35" s="58">
        <v>18.77</v>
      </c>
      <c r="D35" s="58">
        <v>3.43</v>
      </c>
      <c r="E35" s="59">
        <v>12.51</v>
      </c>
      <c r="F35" s="60">
        <v>15.45</v>
      </c>
      <c r="G35" s="60"/>
      <c r="H35" s="58"/>
      <c r="I35" s="62">
        <f>SUM(B35:F35)</f>
        <v>157.48999999999998</v>
      </c>
      <c r="J35" s="62">
        <f>SUM(I35)*30.42</f>
        <v>4790.8458000000001</v>
      </c>
      <c r="L35" s="13"/>
      <c r="M35" s="121">
        <v>24</v>
      </c>
      <c r="N35" s="231">
        <f>SUM(N12*24)</f>
        <v>3991.2000000000003</v>
      </c>
      <c r="O35" s="240">
        <f>SUM(O12*24)</f>
        <v>2869.68</v>
      </c>
      <c r="P35" s="241">
        <f>SUM(P12*24)</f>
        <v>1121.52</v>
      </c>
    </row>
    <row r="36" spans="1:16" ht="15.75" thickBot="1" x14ac:dyDescent="0.3">
      <c r="A36" s="63">
        <v>4</v>
      </c>
      <c r="B36" s="64">
        <v>124.95</v>
      </c>
      <c r="C36" s="58">
        <v>18.77</v>
      </c>
      <c r="D36" s="58">
        <v>3.43</v>
      </c>
      <c r="E36" s="59">
        <v>12.51</v>
      </c>
      <c r="F36" s="60">
        <v>15.45</v>
      </c>
      <c r="G36" s="60"/>
      <c r="H36" s="58"/>
      <c r="I36" s="62">
        <f>SUM(B36:F36)</f>
        <v>175.10999999999999</v>
      </c>
      <c r="J36" s="62">
        <f>SUM(I36)*30.42</f>
        <v>5326.8462</v>
      </c>
      <c r="L36" s="13"/>
      <c r="M36" s="110">
        <v>25</v>
      </c>
      <c r="N36" s="233">
        <f>SUM(N12*25)</f>
        <v>4157.5</v>
      </c>
      <c r="O36" s="240">
        <f>SUM(O12*25)</f>
        <v>2989.25</v>
      </c>
      <c r="P36" s="241">
        <f>SUM(P12*25)</f>
        <v>1168.25</v>
      </c>
    </row>
    <row r="37" spans="1:16" ht="15.75" thickBot="1" x14ac:dyDescent="0.3">
      <c r="A37" s="63">
        <v>5</v>
      </c>
      <c r="B37" s="64">
        <v>132.88</v>
      </c>
      <c r="C37" s="58">
        <v>18.77</v>
      </c>
      <c r="D37" s="58">
        <v>3.43</v>
      </c>
      <c r="E37" s="59">
        <v>12.51</v>
      </c>
      <c r="F37" s="60">
        <v>15.45</v>
      </c>
      <c r="G37" s="60"/>
      <c r="H37" s="58"/>
      <c r="I37" s="62">
        <f>SUM(B37:F37)</f>
        <v>183.04</v>
      </c>
      <c r="J37" s="62">
        <f>SUM(I37)*30.42</f>
        <v>5568.0767999999998</v>
      </c>
      <c r="L37" s="13"/>
      <c r="M37" s="111">
        <v>26</v>
      </c>
      <c r="N37" s="233">
        <f>SUM(N12*26)</f>
        <v>4323.8</v>
      </c>
      <c r="O37" s="240">
        <f>SUM(O12*26)</f>
        <v>3108.8199999999997</v>
      </c>
      <c r="P37" s="241">
        <f>SUM(P12*26)</f>
        <v>1214.98</v>
      </c>
    </row>
    <row r="38" spans="1:16" ht="16.5" customHeight="1" thickBot="1" x14ac:dyDescent="0.3">
      <c r="A38" s="65" t="s">
        <v>13</v>
      </c>
      <c r="B38" s="64">
        <v>116.14</v>
      </c>
      <c r="C38" s="58">
        <v>18.77</v>
      </c>
      <c r="D38" s="58">
        <v>3.43</v>
      </c>
      <c r="E38" s="59">
        <v>12.51</v>
      </c>
      <c r="F38" s="60">
        <v>15.45</v>
      </c>
      <c r="G38" s="60"/>
      <c r="H38" s="58"/>
      <c r="I38" s="62">
        <f>SUM(B38:F38)</f>
        <v>166.29999999999998</v>
      </c>
      <c r="J38" s="62">
        <f>SUM(N40)</f>
        <v>4989</v>
      </c>
      <c r="L38" s="13"/>
      <c r="M38" s="121">
        <v>27</v>
      </c>
      <c r="N38" s="231">
        <f>SUM(N12*27)</f>
        <v>4490.1000000000004</v>
      </c>
      <c r="O38" s="240">
        <f>SUM(O12*27)</f>
        <v>3228.39</v>
      </c>
      <c r="P38" s="241">
        <f>SUM(P12*27)</f>
        <v>1261.7099999999998</v>
      </c>
    </row>
    <row r="39" spans="1:16" ht="15.75" thickBot="1" x14ac:dyDescent="0.3">
      <c r="A39" s="7"/>
      <c r="B39" s="8"/>
      <c r="C39" s="9"/>
      <c r="D39" s="9"/>
      <c r="E39" s="10"/>
      <c r="F39" s="10"/>
      <c r="G39" s="10"/>
      <c r="H39" s="10"/>
      <c r="I39" s="10"/>
      <c r="J39" s="10"/>
      <c r="K39" s="6"/>
      <c r="L39" s="6"/>
      <c r="M39" s="110">
        <v>28</v>
      </c>
      <c r="N39" s="233">
        <f>SUM(N12*28)</f>
        <v>4656.4000000000005</v>
      </c>
      <c r="O39" s="240">
        <f>SUM(O12*28)</f>
        <v>3347.96</v>
      </c>
      <c r="P39" s="241">
        <f>SUM(P12*28)</f>
        <v>1308.4399999999998</v>
      </c>
    </row>
    <row r="40" spans="1:16" ht="15.75" thickBot="1" x14ac:dyDescent="0.3">
      <c r="A40" s="11" t="s">
        <v>29</v>
      </c>
      <c r="B40" s="12" t="s">
        <v>30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1">
        <v>30</v>
      </c>
      <c r="N40" s="231">
        <f>SUM(N12*30)</f>
        <v>4989</v>
      </c>
      <c r="O40" s="240">
        <v>3539</v>
      </c>
      <c r="P40" s="241">
        <f>SUM(N40-O40)</f>
        <v>1450</v>
      </c>
    </row>
    <row r="41" spans="1:16" x14ac:dyDescent="0.25">
      <c r="A41" s="11" t="s">
        <v>29</v>
      </c>
      <c r="B41" s="12" t="s">
        <v>45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x14ac:dyDescent="0.25">
      <c r="A42" s="11" t="s">
        <v>29</v>
      </c>
      <c r="B42" s="12" t="s">
        <v>43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</sheetData>
  <mergeCells count="8">
    <mergeCell ref="E12:E13"/>
    <mergeCell ref="H32:H33"/>
    <mergeCell ref="A32:A33"/>
    <mergeCell ref="B32:B33"/>
    <mergeCell ref="C32:C33"/>
    <mergeCell ref="E32:E33"/>
    <mergeCell ref="F32:F33"/>
    <mergeCell ref="G32:G33"/>
  </mergeCells>
  <pageMargins left="1.0416666666666666E-2" right="0.7" top="0.78740157499999996" bottom="0.78740157499999996" header="0.3" footer="0.3"/>
  <pageSetup paperSize="9" orientation="portrait" r:id="rId1"/>
  <headerFooter>
    <oddFooter>&amp;LStand: 01.01.2024&amp;RFreigabe: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01.01.26 </vt:lpstr>
      <vt:lpstr>01.01.26 15% (2)</vt:lpstr>
      <vt:lpstr>01.09.2026 30% (2)</vt:lpstr>
      <vt:lpstr>01.09.2026 50%  (2)</vt:lpstr>
      <vt:lpstr>01.01.2026 75%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Voigtritter Katrin</dc:creator>
  <cp:lastModifiedBy>Herzog Nicole</cp:lastModifiedBy>
  <cp:lastPrinted>2026-03-31T09:16:06Z</cp:lastPrinted>
  <dcterms:created xsi:type="dcterms:W3CDTF">2022-09-13T09:47:26Z</dcterms:created>
  <dcterms:modified xsi:type="dcterms:W3CDTF">2026-03-31T09:33:16Z</dcterms:modified>
</cp:coreProperties>
</file>